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айв.16" sheetId="1" r:id="rId1"/>
    <sheet name="айв. 18" sheetId="2" r:id="rId2"/>
    <sheet name="айв.20" sheetId="3" r:id="rId3"/>
    <sheet name="В Р 36" sheetId="4" r:id="rId4"/>
    <sheet name="Гр.1" sheetId="5" r:id="rId5"/>
    <sheet name="Гр.3" sheetId="6" r:id="rId6"/>
    <sheet name="Грес.7" sheetId="7" r:id="rId7"/>
    <sheet name="Гр.15" sheetId="8" r:id="rId8"/>
    <sheet name="Гр.17" sheetId="9" r:id="rId9"/>
    <sheet name="Гр.19" sheetId="10" r:id="rId10"/>
    <sheet name="дем.18" sheetId="11" r:id="rId11"/>
    <sheet name="дем.20" sheetId="12" r:id="rId12"/>
    <sheet name="дем.22" sheetId="13" r:id="rId13"/>
    <sheet name="дем.24" sheetId="14" r:id="rId14"/>
    <sheet name="зем.13" sheetId="15" r:id="rId15"/>
    <sheet name="зем. 15" sheetId="16" r:id="rId16"/>
    <sheet name="зем.22" sheetId="17" r:id="rId17"/>
    <sheet name="Зем.24" sheetId="18" r:id="rId18"/>
    <sheet name="либ.1" sheetId="19" r:id="rId19"/>
    <sheet name="либ.2" sheetId="20" r:id="rId20"/>
    <sheet name="либ.11" sheetId="21" r:id="rId21"/>
    <sheet name="либ.11а" sheetId="22" r:id="rId22"/>
    <sheet name="либ.12" sheetId="23" r:id="rId23"/>
    <sheet name="либ.14" sheetId="24" r:id="rId24"/>
    <sheet name="либ.17" sheetId="25" r:id="rId25"/>
    <sheet name="либ.23" sheetId="26" r:id="rId26"/>
    <sheet name="К.М.60" sheetId="27" r:id="rId27"/>
    <sheet name="К.М.62" sheetId="28" r:id="rId28"/>
    <sheet name="крас.19" sheetId="29" r:id="rId29"/>
    <sheet name="красноф.21" sheetId="30" r:id="rId30"/>
    <sheet name="Пич.1" sheetId="31" r:id="rId31"/>
    <sheet name="пич.3" sheetId="32" r:id="rId32"/>
    <sheet name="пич.5" sheetId="33" r:id="rId33"/>
    <sheet name="пич.9" sheetId="34" r:id="rId34"/>
    <sheet name="пич.9а" sheetId="35" r:id="rId35"/>
    <sheet name="пич.10" sheetId="36" r:id="rId36"/>
    <sheet name="пич.11" sheetId="37" r:id="rId37"/>
    <sheet name="пич.12" sheetId="38" r:id="rId38"/>
    <sheet name="пич.13" sheetId="39" r:id="rId39"/>
    <sheet name="пич.14" sheetId="40" r:id="rId40"/>
    <sheet name="пич.15" sheetId="41" r:id="rId41"/>
    <sheet name="пич.16" sheetId="42" r:id="rId42"/>
    <sheet name="пич.17" sheetId="43" r:id="rId43"/>
    <sheet name="пич.19" sheetId="44" r:id="rId44"/>
    <sheet name="пич.20" sheetId="45" r:id="rId45"/>
    <sheet name="пич.21" sheetId="46" r:id="rId46"/>
    <sheet name="пич.22" sheetId="47" r:id="rId47"/>
    <sheet name="пич.23" sheetId="48" r:id="rId48"/>
    <sheet name="пич.24" sheetId="49" r:id="rId49"/>
    <sheet name="люкс.2" sheetId="50" r:id="rId50"/>
    <sheet name="люкс.2а" sheetId="51" r:id="rId51"/>
    <sheet name="Северная 4" sheetId="52" r:id="rId52"/>
    <sheet name="сед.4а" sheetId="53" r:id="rId53"/>
    <sheet name="сед.8а" sheetId="54" r:id="rId54"/>
    <sheet name="сед.15" sheetId="55" r:id="rId55"/>
    <sheet name="сед.15а" sheetId="56" r:id="rId56"/>
    <sheet name="сед.21" sheetId="57" r:id="rId57"/>
    <sheet name="сед.23" sheetId="58" r:id="rId58"/>
    <sheet name="сед.25" sheetId="59" r:id="rId59"/>
    <sheet name="ст.раз.28" sheetId="60" r:id="rId60"/>
    <sheet name="шаум.2а" sheetId="61" r:id="rId61"/>
    <sheet name="тр.2а" sheetId="62" r:id="rId62"/>
    <sheet name="тр.4а" sheetId="75" r:id="rId63"/>
    <sheet name="тр.7а" sheetId="76" r:id="rId64"/>
    <sheet name="тр.36а" sheetId="63" r:id="rId65"/>
    <sheet name="тр.40а" sheetId="64" r:id="rId66"/>
    <sheet name="щорса 16" sheetId="66" r:id="rId67"/>
  </sheets>
  <calcPr calcId="124519"/>
</workbook>
</file>

<file path=xl/calcChain.xml><?xml version="1.0" encoding="utf-8"?>
<calcChain xmlns="http://schemas.openxmlformats.org/spreadsheetml/2006/main">
  <c r="H35" i="19"/>
  <c r="F35"/>
  <c r="F34"/>
  <c r="G24"/>
  <c r="Q15"/>
  <c r="P15"/>
  <c r="N15"/>
  <c r="O15"/>
  <c r="F34" i="20"/>
  <c r="F33"/>
  <c r="Q15"/>
  <c r="P15"/>
  <c r="F33" i="66" l="1"/>
  <c r="F32"/>
  <c r="D32" s="1"/>
  <c r="Q15"/>
  <c r="P15"/>
  <c r="F21"/>
  <c r="F28" s="1"/>
  <c r="E21"/>
  <c r="E28" s="1"/>
  <c r="H34"/>
  <c r="H35" s="1"/>
  <c r="H32"/>
  <c r="G27"/>
  <c r="G26"/>
  <c r="G25"/>
  <c r="I24"/>
  <c r="G23"/>
  <c r="I22"/>
  <c r="G20"/>
  <c r="G19"/>
  <c r="G18"/>
  <c r="G17"/>
  <c r="G16"/>
  <c r="F33" i="63"/>
  <c r="F32"/>
  <c r="D32" s="1"/>
  <c r="Q15"/>
  <c r="P15"/>
  <c r="H34"/>
  <c r="H35" s="1"/>
  <c r="H32"/>
  <c r="F28"/>
  <c r="E28"/>
  <c r="G27"/>
  <c r="G26"/>
  <c r="G25"/>
  <c r="I24"/>
  <c r="G23"/>
  <c r="I22"/>
  <c r="G21"/>
  <c r="G20"/>
  <c r="G19"/>
  <c r="G18"/>
  <c r="G17"/>
  <c r="G16"/>
  <c r="G28" s="1"/>
  <c r="H27"/>
  <c r="I27" s="1"/>
  <c r="F33" i="76"/>
  <c r="F32"/>
  <c r="I22"/>
  <c r="Q15"/>
  <c r="P15"/>
  <c r="H34"/>
  <c r="H35" s="1"/>
  <c r="H32"/>
  <c r="D32"/>
  <c r="F28"/>
  <c r="E28"/>
  <c r="G27"/>
  <c r="G26"/>
  <c r="G25"/>
  <c r="I24"/>
  <c r="G23"/>
  <c r="G21"/>
  <c r="G20"/>
  <c r="G19"/>
  <c r="G18"/>
  <c r="G17"/>
  <c r="G16"/>
  <c r="F33" i="75"/>
  <c r="F32"/>
  <c r="Q15"/>
  <c r="P15"/>
  <c r="H35"/>
  <c r="H34"/>
  <c r="H32"/>
  <c r="D32" s="1"/>
  <c r="F28"/>
  <c r="E28"/>
  <c r="G27"/>
  <c r="G26"/>
  <c r="G25"/>
  <c r="I24"/>
  <c r="G23"/>
  <c r="I22"/>
  <c r="G21"/>
  <c r="G20"/>
  <c r="G19"/>
  <c r="G18"/>
  <c r="G17"/>
  <c r="G16"/>
  <c r="G28" s="1"/>
  <c r="H27" i="66" l="1"/>
  <c r="I27" s="1"/>
  <c r="R15"/>
  <c r="H16"/>
  <c r="H18"/>
  <c r="I18" s="1"/>
  <c r="H20"/>
  <c r="I20" s="1"/>
  <c r="G21"/>
  <c r="G28" s="1"/>
  <c r="H26"/>
  <c r="I26" s="1"/>
  <c r="H17"/>
  <c r="I17" s="1"/>
  <c r="H19"/>
  <c r="I19" s="1"/>
  <c r="H21"/>
  <c r="I21" s="1"/>
  <c r="H23"/>
  <c r="I23" s="1"/>
  <c r="H25"/>
  <c r="I25" s="1"/>
  <c r="D33"/>
  <c r="R15" i="63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27" i="76"/>
  <c r="I27" s="1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27" i="75"/>
  <c r="I27" s="1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I16" i="66" l="1"/>
  <c r="F34"/>
  <c r="H28"/>
  <c r="I28" s="1"/>
  <c r="I16" i="63"/>
  <c r="F34"/>
  <c r="H28"/>
  <c r="I28" s="1"/>
  <c r="I16" i="76"/>
  <c r="F34"/>
  <c r="H28"/>
  <c r="I28" s="1"/>
  <c r="I16" i="75"/>
  <c r="F34"/>
  <c r="H28"/>
  <c r="I28" s="1"/>
  <c r="D34" i="66" l="1"/>
  <c r="F35"/>
  <c r="D35" s="1"/>
  <c r="D34" i="63"/>
  <c r="F35"/>
  <c r="D35" s="1"/>
  <c r="D34" i="76"/>
  <c r="F35"/>
  <c r="D35" s="1"/>
  <c r="D34" i="75"/>
  <c r="F35"/>
  <c r="D35" s="1"/>
  <c r="F34" i="61"/>
  <c r="F33"/>
  <c r="F35"/>
  <c r="H29"/>
  <c r="I27"/>
  <c r="Q15"/>
  <c r="H35" s="1"/>
  <c r="H36" s="1"/>
  <c r="P15"/>
  <c r="F26"/>
  <c r="F29" s="1"/>
  <c r="F25"/>
  <c r="F21"/>
  <c r="E21"/>
  <c r="E29" s="1"/>
  <c r="E25"/>
  <c r="G21"/>
  <c r="D34"/>
  <c r="H33"/>
  <c r="D33" s="1"/>
  <c r="G28"/>
  <c r="G26"/>
  <c r="G23"/>
  <c r="G20"/>
  <c r="G19"/>
  <c r="G18"/>
  <c r="G17"/>
  <c r="G16"/>
  <c r="H28"/>
  <c r="I28" s="1"/>
  <c r="F33" i="60"/>
  <c r="F32"/>
  <c r="Q15"/>
  <c r="P15"/>
  <c r="H32"/>
  <c r="D32" s="1"/>
  <c r="F28"/>
  <c r="E28"/>
  <c r="G27"/>
  <c r="G26"/>
  <c r="G25"/>
  <c r="G23"/>
  <c r="G21"/>
  <c r="G20"/>
  <c r="G19"/>
  <c r="G18"/>
  <c r="G17"/>
  <c r="G16"/>
  <c r="G28" s="1"/>
  <c r="H27"/>
  <c r="I27" s="1"/>
  <c r="F33" i="59"/>
  <c r="F32"/>
  <c r="Q15"/>
  <c r="P15"/>
  <c r="F34" i="58"/>
  <c r="F33"/>
  <c r="H26" i="61" l="1"/>
  <c r="I26" s="1"/>
  <c r="I22"/>
  <c r="I24"/>
  <c r="G25"/>
  <c r="G29" s="1"/>
  <c r="H17"/>
  <c r="I17" s="1"/>
  <c r="H19"/>
  <c r="I19" s="1"/>
  <c r="H21"/>
  <c r="I21" s="1"/>
  <c r="H23"/>
  <c r="I23" s="1"/>
  <c r="H25"/>
  <c r="R15"/>
  <c r="H16"/>
  <c r="H18"/>
  <c r="I18" s="1"/>
  <c r="H20"/>
  <c r="I20" s="1"/>
  <c r="H34" i="60"/>
  <c r="H35" s="1"/>
  <c r="I24"/>
  <c r="I22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3" i="59"/>
  <c r="H32"/>
  <c r="F28"/>
  <c r="E28"/>
  <c r="G27"/>
  <c r="N26"/>
  <c r="G26"/>
  <c r="G25"/>
  <c r="G23"/>
  <c r="I22"/>
  <c r="G21"/>
  <c r="G20"/>
  <c r="G19"/>
  <c r="G18"/>
  <c r="G17"/>
  <c r="G16"/>
  <c r="Q15" i="58"/>
  <c r="P15"/>
  <c r="G23"/>
  <c r="G27"/>
  <c r="I25" i="61" l="1"/>
  <c r="I29"/>
  <c r="I16"/>
  <c r="I16" i="60"/>
  <c r="F34"/>
  <c r="H28"/>
  <c r="I28" s="1"/>
  <c r="D32" i="59"/>
  <c r="G28"/>
  <c r="R15"/>
  <c r="H16"/>
  <c r="H18"/>
  <c r="I18" s="1"/>
  <c r="H20"/>
  <c r="I20" s="1"/>
  <c r="H25"/>
  <c r="I25" s="1"/>
  <c r="H27"/>
  <c r="H17"/>
  <c r="I17" s="1"/>
  <c r="H19"/>
  <c r="I19" s="1"/>
  <c r="H21"/>
  <c r="I21" s="1"/>
  <c r="H23"/>
  <c r="I23" s="1"/>
  <c r="H26"/>
  <c r="I26" s="1"/>
  <c r="H27" i="58"/>
  <c r="I27" s="1"/>
  <c r="F36" i="61" l="1"/>
  <c r="D36" s="1"/>
  <c r="D35"/>
  <c r="D34" i="60"/>
  <c r="F35"/>
  <c r="D35" s="1"/>
  <c r="I27" i="59"/>
  <c r="F34"/>
  <c r="H34"/>
  <c r="H35" s="1"/>
  <c r="I24"/>
  <c r="H28"/>
  <c r="I28" s="1"/>
  <c r="I16"/>
  <c r="F35" l="1"/>
  <c r="D35" s="1"/>
  <c r="D34"/>
  <c r="H35" i="58" l="1"/>
  <c r="H36" s="1"/>
  <c r="H33"/>
  <c r="D33" s="1"/>
  <c r="F29"/>
  <c r="E29"/>
  <c r="G28"/>
  <c r="N26"/>
  <c r="G26"/>
  <c r="G25"/>
  <c r="G21"/>
  <c r="G20"/>
  <c r="G19"/>
  <c r="G18"/>
  <c r="G17"/>
  <c r="G16"/>
  <c r="H19"/>
  <c r="I19" s="1"/>
  <c r="H28"/>
  <c r="I28" s="1"/>
  <c r="F34" i="56"/>
  <c r="F35" i="57"/>
  <c r="F34"/>
  <c r="F33" i="56"/>
  <c r="F32"/>
  <c r="Q15"/>
  <c r="P15"/>
  <c r="H34"/>
  <c r="H35" s="1"/>
  <c r="D33"/>
  <c r="H32"/>
  <c r="D32" s="1"/>
  <c r="F28"/>
  <c r="E28"/>
  <c r="G27"/>
  <c r="G26"/>
  <c r="G25"/>
  <c r="I24"/>
  <c r="G23"/>
  <c r="I22"/>
  <c r="G21"/>
  <c r="G20"/>
  <c r="G19"/>
  <c r="G18"/>
  <c r="G17"/>
  <c r="G16"/>
  <c r="F34" i="55"/>
  <c r="F33"/>
  <c r="Q15"/>
  <c r="P15"/>
  <c r="G27"/>
  <c r="G29" i="58" l="1"/>
  <c r="I22"/>
  <c r="I24"/>
  <c r="H21"/>
  <c r="I21" s="1"/>
  <c r="H23"/>
  <c r="I23" s="1"/>
  <c r="H25"/>
  <c r="I25" s="1"/>
  <c r="H17"/>
  <c r="I17" s="1"/>
  <c r="R15"/>
  <c r="H16"/>
  <c r="H18"/>
  <c r="I18" s="1"/>
  <c r="H20"/>
  <c r="I20" s="1"/>
  <c r="H26"/>
  <c r="I26" s="1"/>
  <c r="D34"/>
  <c r="G28" i="56"/>
  <c r="R15"/>
  <c r="H16"/>
  <c r="H18"/>
  <c r="I18" s="1"/>
  <c r="H20"/>
  <c r="I20" s="1"/>
  <c r="H26"/>
  <c r="I26" s="1"/>
  <c r="H27"/>
  <c r="H17"/>
  <c r="I17" s="1"/>
  <c r="H19"/>
  <c r="I19" s="1"/>
  <c r="H21"/>
  <c r="I21" s="1"/>
  <c r="H23"/>
  <c r="I23" s="1"/>
  <c r="H25"/>
  <c r="I25" s="1"/>
  <c r="H27" i="55"/>
  <c r="I27"/>
  <c r="H35"/>
  <c r="H36" s="1"/>
  <c r="H33"/>
  <c r="D33" s="1"/>
  <c r="F29"/>
  <c r="E29"/>
  <c r="H28"/>
  <c r="G28"/>
  <c r="H26"/>
  <c r="G26"/>
  <c r="H25"/>
  <c r="G25"/>
  <c r="I24"/>
  <c r="H23"/>
  <c r="G23"/>
  <c r="I22"/>
  <c r="H21"/>
  <c r="G21"/>
  <c r="H20"/>
  <c r="G20"/>
  <c r="H19"/>
  <c r="G19"/>
  <c r="H18"/>
  <c r="G18"/>
  <c r="H17"/>
  <c r="G17"/>
  <c r="H16"/>
  <c r="F35" s="1"/>
  <c r="D35" s="1"/>
  <c r="G16"/>
  <c r="G29" s="1"/>
  <c r="R15"/>
  <c r="F33" i="54"/>
  <c r="F32"/>
  <c r="H32"/>
  <c r="H34"/>
  <c r="H35" s="1"/>
  <c r="F28"/>
  <c r="E28"/>
  <c r="G27"/>
  <c r="G26"/>
  <c r="G25"/>
  <c r="G23"/>
  <c r="G21"/>
  <c r="G20"/>
  <c r="G19"/>
  <c r="G18"/>
  <c r="G17"/>
  <c r="G16"/>
  <c r="H27"/>
  <c r="I27" s="1"/>
  <c r="F33" i="53"/>
  <c r="D33" s="1"/>
  <c r="F32"/>
  <c r="Q15"/>
  <c r="H34" s="1"/>
  <c r="H35" s="1"/>
  <c r="P15"/>
  <c r="H32"/>
  <c r="F28"/>
  <c r="E28"/>
  <c r="G27"/>
  <c r="G26"/>
  <c r="G25"/>
  <c r="G23"/>
  <c r="G21"/>
  <c r="G20"/>
  <c r="G19"/>
  <c r="G18"/>
  <c r="G17"/>
  <c r="G16"/>
  <c r="F33" i="52"/>
  <c r="F32"/>
  <c r="P15"/>
  <c r="H34" s="1"/>
  <c r="H35" s="1"/>
  <c r="Q15"/>
  <c r="H32"/>
  <c r="F28"/>
  <c r="E28"/>
  <c r="G27"/>
  <c r="G26"/>
  <c r="G25"/>
  <c r="G23"/>
  <c r="G21"/>
  <c r="H20"/>
  <c r="G20"/>
  <c r="H19"/>
  <c r="G19"/>
  <c r="H18"/>
  <c r="G18"/>
  <c r="H17"/>
  <c r="G17"/>
  <c r="H16"/>
  <c r="G16"/>
  <c r="G28" s="1"/>
  <c r="R15"/>
  <c r="F33" i="51"/>
  <c r="F32"/>
  <c r="H32"/>
  <c r="H34"/>
  <c r="H35" s="1"/>
  <c r="G23"/>
  <c r="G23" i="50"/>
  <c r="F28" i="51"/>
  <c r="E28"/>
  <c r="H27"/>
  <c r="G27"/>
  <c r="H26"/>
  <c r="G26"/>
  <c r="H25"/>
  <c r="G25"/>
  <c r="I24"/>
  <c r="H23"/>
  <c r="I22"/>
  <c r="H21"/>
  <c r="G21"/>
  <c r="H20"/>
  <c r="G20"/>
  <c r="H19"/>
  <c r="G19"/>
  <c r="H18"/>
  <c r="G18"/>
  <c r="H17"/>
  <c r="G17"/>
  <c r="H16"/>
  <c r="G16"/>
  <c r="G28" s="1"/>
  <c r="R15"/>
  <c r="F33" i="50"/>
  <c r="F32"/>
  <c r="I22"/>
  <c r="H34"/>
  <c r="H35" s="1"/>
  <c r="H32"/>
  <c r="F28"/>
  <c r="E28"/>
  <c r="G27"/>
  <c r="G26"/>
  <c r="G25"/>
  <c r="I24"/>
  <c r="G21"/>
  <c r="G20"/>
  <c r="G19"/>
  <c r="G18"/>
  <c r="G17"/>
  <c r="G16"/>
  <c r="H27"/>
  <c r="I27" s="1"/>
  <c r="F32" i="49"/>
  <c r="F35" i="58" l="1"/>
  <c r="I16"/>
  <c r="H29"/>
  <c r="I29" s="1"/>
  <c r="I27" i="56"/>
  <c r="H28"/>
  <c r="I28" s="1"/>
  <c r="I16"/>
  <c r="I21" i="55"/>
  <c r="I28"/>
  <c r="I20"/>
  <c r="I17"/>
  <c r="I16"/>
  <c r="I23"/>
  <c r="I19"/>
  <c r="I18"/>
  <c r="I26"/>
  <c r="I25"/>
  <c r="H29"/>
  <c r="I29" s="1"/>
  <c r="D34"/>
  <c r="D32" i="54"/>
  <c r="I24"/>
  <c r="I22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26" i="53"/>
  <c r="H27"/>
  <c r="I27" s="1"/>
  <c r="I24"/>
  <c r="I26"/>
  <c r="G28"/>
  <c r="I22"/>
  <c r="D32"/>
  <c r="H17"/>
  <c r="I17" s="1"/>
  <c r="H19"/>
  <c r="I19" s="1"/>
  <c r="H21"/>
  <c r="I21" s="1"/>
  <c r="H23"/>
  <c r="I23" s="1"/>
  <c r="H25"/>
  <c r="I25" s="1"/>
  <c r="R15"/>
  <c r="H16"/>
  <c r="H18"/>
  <c r="I18" s="1"/>
  <c r="H20"/>
  <c r="I20" s="1"/>
  <c r="D32" i="52"/>
  <c r="H21"/>
  <c r="H23"/>
  <c r="H25"/>
  <c r="H26"/>
  <c r="H27"/>
  <c r="I17"/>
  <c r="I19"/>
  <c r="I21"/>
  <c r="I25"/>
  <c r="I27"/>
  <c r="I22"/>
  <c r="I24"/>
  <c r="I16"/>
  <c r="I23"/>
  <c r="I18"/>
  <c r="I20"/>
  <c r="I26"/>
  <c r="H28"/>
  <c r="I28" s="1"/>
  <c r="F34"/>
  <c r="D34" s="1"/>
  <c r="D33"/>
  <c r="D32" i="51"/>
  <c r="I26"/>
  <c r="I17"/>
  <c r="I19"/>
  <c r="I21"/>
  <c r="I23"/>
  <c r="I18"/>
  <c r="I20"/>
  <c r="I25"/>
  <c r="I27"/>
  <c r="I16"/>
  <c r="H28"/>
  <c r="I28" s="1"/>
  <c r="F34"/>
  <c r="D34" s="1"/>
  <c r="D33"/>
  <c r="D32" i="50"/>
  <c r="G28"/>
  <c r="H17"/>
  <c r="I17" s="1"/>
  <c r="H19"/>
  <c r="I19" s="1"/>
  <c r="H21"/>
  <c r="I21" s="1"/>
  <c r="H26"/>
  <c r="I26" s="1"/>
  <c r="R15"/>
  <c r="H16"/>
  <c r="H18"/>
  <c r="I18" s="1"/>
  <c r="H20"/>
  <c r="I20" s="1"/>
  <c r="H23"/>
  <c r="I23" s="1"/>
  <c r="H25"/>
  <c r="I25" s="1"/>
  <c r="D33"/>
  <c r="D35" i="58" l="1"/>
  <c r="F36"/>
  <c r="D36" s="1"/>
  <c r="F35" i="56"/>
  <c r="D35" s="1"/>
  <c r="D34"/>
  <c r="F36" i="55"/>
  <c r="D36" s="1"/>
  <c r="I16" i="54"/>
  <c r="F34"/>
  <c r="H28"/>
  <c r="I28" s="1"/>
  <c r="F34" i="53"/>
  <c r="H28"/>
  <c r="I28" s="1"/>
  <c r="I16"/>
  <c r="F35" i="52"/>
  <c r="D35" s="1"/>
  <c r="F35" i="51"/>
  <c r="D35" s="1"/>
  <c r="F34" i="50"/>
  <c r="H28"/>
  <c r="I28" s="1"/>
  <c r="I16"/>
  <c r="D34" i="54" l="1"/>
  <c r="F35"/>
  <c r="D35" s="1"/>
  <c r="F35" i="53"/>
  <c r="D35" s="1"/>
  <c r="D34"/>
  <c r="D34" i="50"/>
  <c r="F35"/>
  <c r="D35" s="1"/>
  <c r="F33" i="49" l="1"/>
  <c r="Q15"/>
  <c r="P15"/>
  <c r="H32" l="1"/>
  <c r="D32" s="1"/>
  <c r="H34"/>
  <c r="H35" s="1"/>
  <c r="F28"/>
  <c r="E28"/>
  <c r="G27"/>
  <c r="G26"/>
  <c r="G25"/>
  <c r="G21"/>
  <c r="G20"/>
  <c r="G19"/>
  <c r="G18"/>
  <c r="G17"/>
  <c r="G16"/>
  <c r="H27"/>
  <c r="I27" s="1"/>
  <c r="F33" i="48"/>
  <c r="F32"/>
  <c r="Q15"/>
  <c r="P15"/>
  <c r="H32"/>
  <c r="H34"/>
  <c r="H35" s="1"/>
  <c r="F28"/>
  <c r="E28"/>
  <c r="G27"/>
  <c r="G26"/>
  <c r="G25"/>
  <c r="G23"/>
  <c r="I22"/>
  <c r="G21"/>
  <c r="G20"/>
  <c r="G19"/>
  <c r="G18"/>
  <c r="G17"/>
  <c r="G16"/>
  <c r="G28" s="1"/>
  <c r="R15"/>
  <c r="F33" i="47"/>
  <c r="G28" i="49" l="1"/>
  <c r="I22"/>
  <c r="I24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48"/>
  <c r="H21"/>
  <c r="H16"/>
  <c r="H17"/>
  <c r="I17" s="1"/>
  <c r="H18"/>
  <c r="I18" s="1"/>
  <c r="H19"/>
  <c r="H20"/>
  <c r="I20" s="1"/>
  <c r="H27"/>
  <c r="H23"/>
  <c r="H25"/>
  <c r="F34" s="1"/>
  <c r="D34" s="1"/>
  <c r="H26"/>
  <c r="I24"/>
  <c r="I23"/>
  <c r="I16"/>
  <c r="I19"/>
  <c r="I21"/>
  <c r="I25"/>
  <c r="I26"/>
  <c r="I27"/>
  <c r="D33"/>
  <c r="F32" i="47"/>
  <c r="I16" i="49" l="1"/>
  <c r="F34"/>
  <c r="H28"/>
  <c r="I28" s="1"/>
  <c r="H28" i="48"/>
  <c r="I28" s="1"/>
  <c r="F35"/>
  <c r="D35" s="1"/>
  <c r="H32" i="47"/>
  <c r="H34"/>
  <c r="H35" s="1"/>
  <c r="D33"/>
  <c r="F28"/>
  <c r="E28"/>
  <c r="H27"/>
  <c r="G27"/>
  <c r="H26"/>
  <c r="G26"/>
  <c r="H25"/>
  <c r="G25"/>
  <c r="H23"/>
  <c r="G23"/>
  <c r="H21"/>
  <c r="G21"/>
  <c r="H20"/>
  <c r="G20"/>
  <c r="H19"/>
  <c r="G19"/>
  <c r="H18"/>
  <c r="G18"/>
  <c r="H17"/>
  <c r="G17"/>
  <c r="H16"/>
  <c r="G16"/>
  <c r="R15"/>
  <c r="D34" i="49" l="1"/>
  <c r="F35"/>
  <c r="D35" s="1"/>
  <c r="I22" i="47"/>
  <c r="I25"/>
  <c r="I27"/>
  <c r="I19"/>
  <c r="D32"/>
  <c r="I24"/>
  <c r="I21"/>
  <c r="I20"/>
  <c r="I18"/>
  <c r="I17"/>
  <c r="I16"/>
  <c r="G28"/>
  <c r="I23"/>
  <c r="I26"/>
  <c r="H28"/>
  <c r="F34"/>
  <c r="D34" s="1"/>
  <c r="I28" l="1"/>
  <c r="F35"/>
  <c r="D35" s="1"/>
  <c r="F33" i="46" l="1"/>
  <c r="F32"/>
  <c r="H32" l="1"/>
  <c r="D32" s="1"/>
  <c r="H34"/>
  <c r="H35" s="1"/>
  <c r="F28"/>
  <c r="E28"/>
  <c r="G27"/>
  <c r="G26"/>
  <c r="G25"/>
  <c r="G23"/>
  <c r="G21"/>
  <c r="G20"/>
  <c r="G19"/>
  <c r="G18"/>
  <c r="G17"/>
  <c r="G16"/>
  <c r="H27"/>
  <c r="I27" s="1"/>
  <c r="F33" i="45"/>
  <c r="D33" s="1"/>
  <c r="F32"/>
  <c r="Q15"/>
  <c r="H27" s="1"/>
  <c r="P15"/>
  <c r="H34"/>
  <c r="H35" s="1"/>
  <c r="H32"/>
  <c r="D32"/>
  <c r="F28"/>
  <c r="E28"/>
  <c r="G27"/>
  <c r="G26"/>
  <c r="G25"/>
  <c r="I24"/>
  <c r="G23"/>
  <c r="I22"/>
  <c r="H21"/>
  <c r="G21"/>
  <c r="H20"/>
  <c r="G20"/>
  <c r="H19"/>
  <c r="G19"/>
  <c r="H18"/>
  <c r="G18"/>
  <c r="H17"/>
  <c r="G17"/>
  <c r="H16"/>
  <c r="G16"/>
  <c r="G28" s="1"/>
  <c r="R15"/>
  <c r="F33" i="44"/>
  <c r="F32"/>
  <c r="H32"/>
  <c r="H34"/>
  <c r="H35" s="1"/>
  <c r="I22"/>
  <c r="F28"/>
  <c r="E28"/>
  <c r="G27"/>
  <c r="G26"/>
  <c r="G25"/>
  <c r="G23"/>
  <c r="G21"/>
  <c r="G20"/>
  <c r="G19"/>
  <c r="G18"/>
  <c r="G17"/>
  <c r="G16"/>
  <c r="H27"/>
  <c r="I27" s="1"/>
  <c r="F33" i="43"/>
  <c r="D33" s="1"/>
  <c r="F32"/>
  <c r="Q15"/>
  <c r="P15"/>
  <c r="H34"/>
  <c r="H32"/>
  <c r="F28"/>
  <c r="E28"/>
  <c r="G27"/>
  <c r="G26"/>
  <c r="G25"/>
  <c r="I24"/>
  <c r="H23"/>
  <c r="G23"/>
  <c r="I22"/>
  <c r="G21"/>
  <c r="G20"/>
  <c r="G19"/>
  <c r="G18"/>
  <c r="G17"/>
  <c r="H16"/>
  <c r="G16"/>
  <c r="G28" s="1"/>
  <c r="R15"/>
  <c r="H33" i="42"/>
  <c r="F33"/>
  <c r="F32"/>
  <c r="H32"/>
  <c r="H34"/>
  <c r="F28"/>
  <c r="E28"/>
  <c r="G27"/>
  <c r="G26"/>
  <c r="G25"/>
  <c r="I24"/>
  <c r="G23"/>
  <c r="G21"/>
  <c r="G20"/>
  <c r="G19"/>
  <c r="G18"/>
  <c r="G17"/>
  <c r="G16"/>
  <c r="G28" s="1"/>
  <c r="H27"/>
  <c r="H33" i="41"/>
  <c r="F33"/>
  <c r="F32"/>
  <c r="Q15"/>
  <c r="P15"/>
  <c r="I22"/>
  <c r="H34"/>
  <c r="H32"/>
  <c r="D32"/>
  <c r="F28"/>
  <c r="E28"/>
  <c r="G27"/>
  <c r="G26"/>
  <c r="G25"/>
  <c r="I24"/>
  <c r="G23"/>
  <c r="G21"/>
  <c r="G20"/>
  <c r="G19"/>
  <c r="G18"/>
  <c r="G17"/>
  <c r="G16"/>
  <c r="G28" s="1"/>
  <c r="G28" i="46" l="1"/>
  <c r="I24"/>
  <c r="I22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25" i="45"/>
  <c r="H26"/>
  <c r="H23"/>
  <c r="I27"/>
  <c r="I26"/>
  <c r="I25"/>
  <c r="I21"/>
  <c r="I20"/>
  <c r="I19"/>
  <c r="I18"/>
  <c r="I17"/>
  <c r="I16"/>
  <c r="I23"/>
  <c r="H28"/>
  <c r="I28" s="1"/>
  <c r="F34"/>
  <c r="D32" i="44"/>
  <c r="G28"/>
  <c r="I24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43"/>
  <c r="H35"/>
  <c r="H27"/>
  <c r="H17"/>
  <c r="H18"/>
  <c r="H19"/>
  <c r="H20"/>
  <c r="H21"/>
  <c r="H25"/>
  <c r="H26"/>
  <c r="I25"/>
  <c r="I27"/>
  <c r="I18"/>
  <c r="I20"/>
  <c r="I23"/>
  <c r="I17"/>
  <c r="I19"/>
  <c r="I21"/>
  <c r="I26"/>
  <c r="I16"/>
  <c r="F34"/>
  <c r="D34" s="1"/>
  <c r="D33" i="42"/>
  <c r="D32"/>
  <c r="I22"/>
  <c r="I27"/>
  <c r="H35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H35" i="41"/>
  <c r="H21"/>
  <c r="R15"/>
  <c r="H16"/>
  <c r="H17"/>
  <c r="I17" s="1"/>
  <c r="H18"/>
  <c r="H19"/>
  <c r="I19" s="1"/>
  <c r="H20"/>
  <c r="H27"/>
  <c r="I27" s="1"/>
  <c r="H23"/>
  <c r="H25"/>
  <c r="I25" s="1"/>
  <c r="H26"/>
  <c r="I16"/>
  <c r="I18"/>
  <c r="I20"/>
  <c r="I26"/>
  <c r="I23"/>
  <c r="I21"/>
  <c r="H28"/>
  <c r="I28" s="1"/>
  <c r="D33"/>
  <c r="F33" i="40"/>
  <c r="F32"/>
  <c r="H34"/>
  <c r="H35" s="1"/>
  <c r="H32"/>
  <c r="F28"/>
  <c r="E28"/>
  <c r="G27"/>
  <c r="G26"/>
  <c r="G25"/>
  <c r="G23"/>
  <c r="G21"/>
  <c r="G20"/>
  <c r="G19"/>
  <c r="G18"/>
  <c r="G17"/>
  <c r="G16"/>
  <c r="H27"/>
  <c r="I27" s="1"/>
  <c r="F33" i="39"/>
  <c r="F32"/>
  <c r="Q15"/>
  <c r="P15"/>
  <c r="H27" s="1"/>
  <c r="H34"/>
  <c r="H35" s="1"/>
  <c r="H32"/>
  <c r="D32" s="1"/>
  <c r="F28"/>
  <c r="E28"/>
  <c r="G27"/>
  <c r="G26"/>
  <c r="G25"/>
  <c r="I24"/>
  <c r="H23"/>
  <c r="G23"/>
  <c r="I22"/>
  <c r="G21"/>
  <c r="G20"/>
  <c r="G19"/>
  <c r="G18"/>
  <c r="G17"/>
  <c r="G16"/>
  <c r="G28" s="1"/>
  <c r="R15"/>
  <c r="F33" i="38"/>
  <c r="F32"/>
  <c r="D32" s="1"/>
  <c r="H34"/>
  <c r="H35" s="1"/>
  <c r="H32"/>
  <c r="F28"/>
  <c r="E28"/>
  <c r="G27"/>
  <c r="G25"/>
  <c r="I24"/>
  <c r="G23"/>
  <c r="I22"/>
  <c r="G21"/>
  <c r="G19"/>
  <c r="G17"/>
  <c r="G26"/>
  <c r="G16"/>
  <c r="H26"/>
  <c r="I26" s="1"/>
  <c r="H27"/>
  <c r="F33" i="37"/>
  <c r="F32"/>
  <c r="Q15"/>
  <c r="P15"/>
  <c r="N16"/>
  <c r="G26" s="1"/>
  <c r="H34"/>
  <c r="H35" s="1"/>
  <c r="H32"/>
  <c r="D32"/>
  <c r="F28"/>
  <c r="E28"/>
  <c r="G25"/>
  <c r="I24"/>
  <c r="G23"/>
  <c r="I22"/>
  <c r="G21"/>
  <c r="G17"/>
  <c r="F33" i="36"/>
  <c r="F32"/>
  <c r="I16" i="46" l="1"/>
  <c r="F34"/>
  <c r="H28"/>
  <c r="I28" s="1"/>
  <c r="F35" i="45"/>
  <c r="D35" s="1"/>
  <c r="D34"/>
  <c r="I16" i="44"/>
  <c r="F34"/>
  <c r="H28"/>
  <c r="I28" s="1"/>
  <c r="H28" i="43"/>
  <c r="I28" s="1"/>
  <c r="F35"/>
  <c r="D35" s="1"/>
  <c r="H28" i="42"/>
  <c r="I28" s="1"/>
  <c r="F34"/>
  <c r="I16"/>
  <c r="F34" i="41"/>
  <c r="D34" s="1"/>
  <c r="D32" i="40"/>
  <c r="I22"/>
  <c r="G28"/>
  <c r="I24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16" i="39"/>
  <c r="H17"/>
  <c r="H18"/>
  <c r="H19"/>
  <c r="H20"/>
  <c r="H21"/>
  <c r="H25"/>
  <c r="H26"/>
  <c r="I19"/>
  <c r="I21"/>
  <c r="I27"/>
  <c r="I25"/>
  <c r="I17"/>
  <c r="I16"/>
  <c r="I18"/>
  <c r="I20"/>
  <c r="I23"/>
  <c r="I26"/>
  <c r="H28"/>
  <c r="I28" s="1"/>
  <c r="F34"/>
  <c r="D34" s="1"/>
  <c r="D33"/>
  <c r="I27" i="38"/>
  <c r="H18"/>
  <c r="H20"/>
  <c r="R15"/>
  <c r="H16"/>
  <c r="H17"/>
  <c r="I17" s="1"/>
  <c r="G18"/>
  <c r="H19"/>
  <c r="I19" s="1"/>
  <c r="G20"/>
  <c r="H21"/>
  <c r="I21" s="1"/>
  <c r="H23"/>
  <c r="I23" s="1"/>
  <c r="H25"/>
  <c r="I25" s="1"/>
  <c r="D33"/>
  <c r="H27" i="37"/>
  <c r="G19"/>
  <c r="G27"/>
  <c r="I27" s="1"/>
  <c r="G16"/>
  <c r="G18"/>
  <c r="G20"/>
  <c r="R15"/>
  <c r="H16"/>
  <c r="H18"/>
  <c r="I18" s="1"/>
  <c r="H20"/>
  <c r="I20" s="1"/>
  <c r="H26"/>
  <c r="I26" s="1"/>
  <c r="H17"/>
  <c r="I17" s="1"/>
  <c r="H19"/>
  <c r="H21"/>
  <c r="I21" s="1"/>
  <c r="H23"/>
  <c r="I23" s="1"/>
  <c r="H25"/>
  <c r="I25" s="1"/>
  <c r="D33"/>
  <c r="D34" i="46" l="1"/>
  <c r="F35"/>
  <c r="D35" s="1"/>
  <c r="D34" i="44"/>
  <c r="F35"/>
  <c r="D35" s="1"/>
  <c r="D34" i="42"/>
  <c r="F35"/>
  <c r="D35" s="1"/>
  <c r="F35" i="41"/>
  <c r="D35" s="1"/>
  <c r="I16" i="40"/>
  <c r="F34"/>
  <c r="H28"/>
  <c r="I28" s="1"/>
  <c r="F35" i="39"/>
  <c r="D35" s="1"/>
  <c r="G28" i="38"/>
  <c r="I18"/>
  <c r="F34"/>
  <c r="H28"/>
  <c r="I16"/>
  <c r="I20"/>
  <c r="I19" i="37"/>
  <c r="G28"/>
  <c r="I16"/>
  <c r="F34"/>
  <c r="H28"/>
  <c r="D34" i="40" l="1"/>
  <c r="F35"/>
  <c r="D35" s="1"/>
  <c r="I28" i="38"/>
  <c r="D34"/>
  <c r="F35"/>
  <c r="D35" s="1"/>
  <c r="I28" i="37"/>
  <c r="D34"/>
  <c r="F35"/>
  <c r="D35" s="1"/>
  <c r="Q15" i="36" l="1"/>
  <c r="H27" s="1"/>
  <c r="P15"/>
  <c r="H34"/>
  <c r="H35" s="1"/>
  <c r="H32"/>
  <c r="D32"/>
  <c r="F28"/>
  <c r="E28"/>
  <c r="G27"/>
  <c r="G25"/>
  <c r="I24"/>
  <c r="H23"/>
  <c r="G23"/>
  <c r="H21"/>
  <c r="G21"/>
  <c r="H20"/>
  <c r="G19"/>
  <c r="H17"/>
  <c r="G17"/>
  <c r="G26"/>
  <c r="G16"/>
  <c r="F33" i="35"/>
  <c r="F32"/>
  <c r="N16"/>
  <c r="G26" s="1"/>
  <c r="E28"/>
  <c r="H35"/>
  <c r="H34"/>
  <c r="H32"/>
  <c r="F28"/>
  <c r="I24"/>
  <c r="I22"/>
  <c r="G16"/>
  <c r="H27"/>
  <c r="F33" i="34"/>
  <c r="F32"/>
  <c r="P15"/>
  <c r="Q15"/>
  <c r="O16"/>
  <c r="G26" s="1"/>
  <c r="N16"/>
  <c r="F28"/>
  <c r="E28"/>
  <c r="F33" i="33"/>
  <c r="F32"/>
  <c r="Q15"/>
  <c r="P15"/>
  <c r="O16"/>
  <c r="H32" s="1"/>
  <c r="D32" s="1"/>
  <c r="H34"/>
  <c r="H35" s="1"/>
  <c r="F28"/>
  <c r="E28"/>
  <c r="H27"/>
  <c r="F33" i="32"/>
  <c r="F32"/>
  <c r="P15"/>
  <c r="Q15"/>
  <c r="H34"/>
  <c r="H35" s="1"/>
  <c r="D33"/>
  <c r="H32"/>
  <c r="F28"/>
  <c r="E28"/>
  <c r="G27"/>
  <c r="G26"/>
  <c r="G25"/>
  <c r="I24"/>
  <c r="G23"/>
  <c r="I22"/>
  <c r="G21"/>
  <c r="G20"/>
  <c r="G19"/>
  <c r="G18"/>
  <c r="G17"/>
  <c r="G16"/>
  <c r="G28" s="1"/>
  <c r="F33" i="31"/>
  <c r="F32"/>
  <c r="Q15"/>
  <c r="P15"/>
  <c r="H32"/>
  <c r="D32" s="1"/>
  <c r="D33"/>
  <c r="E28"/>
  <c r="G27"/>
  <c r="G26"/>
  <c r="G25"/>
  <c r="G23"/>
  <c r="G21"/>
  <c r="F28"/>
  <c r="G20"/>
  <c r="G19"/>
  <c r="G18"/>
  <c r="G17"/>
  <c r="G16"/>
  <c r="F33" i="30"/>
  <c r="F32"/>
  <c r="Q15"/>
  <c r="P15"/>
  <c r="H26" i="36" l="1"/>
  <c r="H25"/>
  <c r="R15"/>
  <c r="H16"/>
  <c r="H18"/>
  <c r="H19"/>
  <c r="I21"/>
  <c r="I27"/>
  <c r="I22"/>
  <c r="I25"/>
  <c r="I19"/>
  <c r="I17"/>
  <c r="I23"/>
  <c r="I26"/>
  <c r="I16"/>
  <c r="H28"/>
  <c r="F34"/>
  <c r="D34" s="1"/>
  <c r="G18"/>
  <c r="G28" s="1"/>
  <c r="G20"/>
  <c r="I20" s="1"/>
  <c r="D33"/>
  <c r="D32" i="35"/>
  <c r="R15"/>
  <c r="H16"/>
  <c r="G17"/>
  <c r="H18"/>
  <c r="G19"/>
  <c r="H20"/>
  <c r="G21"/>
  <c r="G23"/>
  <c r="G25"/>
  <c r="H26"/>
  <c r="I26" s="1"/>
  <c r="G27"/>
  <c r="I27" s="1"/>
  <c r="H17"/>
  <c r="G18"/>
  <c r="H19"/>
  <c r="G20"/>
  <c r="H21"/>
  <c r="H23"/>
  <c r="H25"/>
  <c r="D33"/>
  <c r="H27" i="34"/>
  <c r="H34"/>
  <c r="H35" s="1"/>
  <c r="H32"/>
  <c r="D32" s="1"/>
  <c r="I22"/>
  <c r="G16"/>
  <c r="G17"/>
  <c r="H18"/>
  <c r="G19"/>
  <c r="H20"/>
  <c r="G21"/>
  <c r="G23"/>
  <c r="G25"/>
  <c r="H26"/>
  <c r="I26" s="1"/>
  <c r="G27"/>
  <c r="I27" s="1"/>
  <c r="R15"/>
  <c r="H16"/>
  <c r="H17"/>
  <c r="I17" s="1"/>
  <c r="G18"/>
  <c r="H19"/>
  <c r="G20"/>
  <c r="H21"/>
  <c r="I21" s="1"/>
  <c r="H23"/>
  <c r="I23" s="1"/>
  <c r="H25"/>
  <c r="I25" s="1"/>
  <c r="D33"/>
  <c r="G16" i="33"/>
  <c r="G18"/>
  <c r="G20"/>
  <c r="G23"/>
  <c r="G26"/>
  <c r="G17"/>
  <c r="G19"/>
  <c r="G21"/>
  <c r="G25"/>
  <c r="G27"/>
  <c r="I24"/>
  <c r="I27"/>
  <c r="R15"/>
  <c r="H16"/>
  <c r="H18"/>
  <c r="I18" s="1"/>
  <c r="H20"/>
  <c r="H26"/>
  <c r="H17"/>
  <c r="I17" s="1"/>
  <c r="H19"/>
  <c r="H21"/>
  <c r="I21" s="1"/>
  <c r="H23"/>
  <c r="I23" s="1"/>
  <c r="H25"/>
  <c r="D33"/>
  <c r="D32" i="32"/>
  <c r="H26"/>
  <c r="I26" s="1"/>
  <c r="H27"/>
  <c r="I27" s="1"/>
  <c r="R15"/>
  <c r="H16"/>
  <c r="H18"/>
  <c r="I18" s="1"/>
  <c r="H20"/>
  <c r="I20" s="1"/>
  <c r="H17"/>
  <c r="I17" s="1"/>
  <c r="H19"/>
  <c r="I19" s="1"/>
  <c r="H21"/>
  <c r="I21" s="1"/>
  <c r="H23"/>
  <c r="I23" s="1"/>
  <c r="H25"/>
  <c r="I25" s="1"/>
  <c r="H27" i="31"/>
  <c r="I27" s="1"/>
  <c r="H26"/>
  <c r="I26" s="1"/>
  <c r="I22"/>
  <c r="H34"/>
  <c r="H35" s="1"/>
  <c r="G28"/>
  <c r="I24"/>
  <c r="H17"/>
  <c r="I17" s="1"/>
  <c r="H19"/>
  <c r="I19" s="1"/>
  <c r="H25"/>
  <c r="I25" s="1"/>
  <c r="R15"/>
  <c r="H16"/>
  <c r="H18"/>
  <c r="I18" s="1"/>
  <c r="H20"/>
  <c r="I20" s="1"/>
  <c r="H21"/>
  <c r="I21" s="1"/>
  <c r="H23"/>
  <c r="I23" s="1"/>
  <c r="F25" i="30"/>
  <c r="F21"/>
  <c r="H32"/>
  <c r="D32" s="1"/>
  <c r="H34"/>
  <c r="H35" s="1"/>
  <c r="D33"/>
  <c r="F28"/>
  <c r="E28"/>
  <c r="G27"/>
  <c r="G26"/>
  <c r="G25"/>
  <c r="G23"/>
  <c r="G21"/>
  <c r="G20"/>
  <c r="G19"/>
  <c r="G18"/>
  <c r="G17"/>
  <c r="G16"/>
  <c r="G28" s="1"/>
  <c r="H27"/>
  <c r="I27" s="1"/>
  <c r="H26"/>
  <c r="I26" s="1"/>
  <c r="F33" i="29"/>
  <c r="F32"/>
  <c r="P15"/>
  <c r="Q15"/>
  <c r="H27"/>
  <c r="I24"/>
  <c r="H32"/>
  <c r="F28"/>
  <c r="E28"/>
  <c r="G27"/>
  <c r="G26"/>
  <c r="G25"/>
  <c r="G23"/>
  <c r="I22"/>
  <c r="G21"/>
  <c r="G20"/>
  <c r="G19"/>
  <c r="G18"/>
  <c r="G17"/>
  <c r="G16"/>
  <c r="F32" i="28"/>
  <c r="F33"/>
  <c r="Q15"/>
  <c r="P15"/>
  <c r="E28"/>
  <c r="H32"/>
  <c r="D32" s="1"/>
  <c r="F28"/>
  <c r="G27"/>
  <c r="G26"/>
  <c r="G25"/>
  <c r="G23"/>
  <c r="G21"/>
  <c r="G20"/>
  <c r="G19"/>
  <c r="G18"/>
  <c r="G17"/>
  <c r="G16"/>
  <c r="G28" s="1"/>
  <c r="H27"/>
  <c r="I27" s="1"/>
  <c r="F33" i="27"/>
  <c r="F32"/>
  <c r="Q15"/>
  <c r="P15"/>
  <c r="H32"/>
  <c r="H34"/>
  <c r="H35" s="1"/>
  <c r="F28"/>
  <c r="E28"/>
  <c r="G27"/>
  <c r="G26"/>
  <c r="G25"/>
  <c r="G23"/>
  <c r="G21"/>
  <c r="G20"/>
  <c r="G19"/>
  <c r="G18"/>
  <c r="G17"/>
  <c r="G16"/>
  <c r="H27"/>
  <c r="I27" s="1"/>
  <c r="F33" i="23"/>
  <c r="F32"/>
  <c r="P15"/>
  <c r="Q15"/>
  <c r="F25"/>
  <c r="F21"/>
  <c r="E21"/>
  <c r="H34"/>
  <c r="H35" s="1"/>
  <c r="I22"/>
  <c r="H32"/>
  <c r="D32" s="1"/>
  <c r="G27"/>
  <c r="G26"/>
  <c r="G25"/>
  <c r="G23"/>
  <c r="G20"/>
  <c r="G19"/>
  <c r="G18"/>
  <c r="G17"/>
  <c r="G16"/>
  <c r="F33" i="22"/>
  <c r="F32"/>
  <c r="P15"/>
  <c r="Q15"/>
  <c r="I28" i="36" l="1"/>
  <c r="F35"/>
  <c r="D35" s="1"/>
  <c r="I18"/>
  <c r="I21" i="35"/>
  <c r="I19"/>
  <c r="I17"/>
  <c r="I25"/>
  <c r="I20"/>
  <c r="I18"/>
  <c r="G28"/>
  <c r="I16"/>
  <c r="F34"/>
  <c r="H28"/>
  <c r="I23"/>
  <c r="I24" i="34"/>
  <c r="I19"/>
  <c r="I20"/>
  <c r="I18"/>
  <c r="G28"/>
  <c r="F34"/>
  <c r="H28"/>
  <c r="I28" s="1"/>
  <c r="I16"/>
  <c r="I22" i="33"/>
  <c r="G28"/>
  <c r="I19"/>
  <c r="I26"/>
  <c r="I25"/>
  <c r="I20"/>
  <c r="I16"/>
  <c r="F34"/>
  <c r="H28"/>
  <c r="I16" i="32"/>
  <c r="F34"/>
  <c r="H28"/>
  <c r="I28" s="1"/>
  <c r="F34" i="31"/>
  <c r="H28"/>
  <c r="I28" s="1"/>
  <c r="I16"/>
  <c r="I22" i="30"/>
  <c r="I24"/>
  <c r="R15"/>
  <c r="H16"/>
  <c r="H18"/>
  <c r="I18" s="1"/>
  <c r="H20"/>
  <c r="I20" s="1"/>
  <c r="H17"/>
  <c r="I17" s="1"/>
  <c r="H19"/>
  <c r="I19" s="1"/>
  <c r="H21"/>
  <c r="I21" s="1"/>
  <c r="H23"/>
  <c r="I23" s="1"/>
  <c r="H25"/>
  <c r="I25" s="1"/>
  <c r="D32" i="29"/>
  <c r="G28"/>
  <c r="I27"/>
  <c r="H17"/>
  <c r="I17" s="1"/>
  <c r="H19"/>
  <c r="I19" s="1"/>
  <c r="H21"/>
  <c r="I21" s="1"/>
  <c r="H23"/>
  <c r="I23" s="1"/>
  <c r="H26"/>
  <c r="I26" s="1"/>
  <c r="R15"/>
  <c r="H16"/>
  <c r="H18"/>
  <c r="I18" s="1"/>
  <c r="H20"/>
  <c r="I20" s="1"/>
  <c r="H25"/>
  <c r="I25" s="1"/>
  <c r="D33"/>
  <c r="I22" i="28"/>
  <c r="H24"/>
  <c r="H34" s="1"/>
  <c r="H35" s="1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27"/>
  <c r="I22"/>
  <c r="I24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27" i="23"/>
  <c r="I27" s="1"/>
  <c r="F28"/>
  <c r="G21"/>
  <c r="I24"/>
  <c r="E28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32" i="22"/>
  <c r="D32" s="1"/>
  <c r="F28"/>
  <c r="E28"/>
  <c r="G27"/>
  <c r="G26"/>
  <c r="G25"/>
  <c r="G23"/>
  <c r="G21"/>
  <c r="G20"/>
  <c r="G19"/>
  <c r="G18"/>
  <c r="G17"/>
  <c r="G16"/>
  <c r="I28" i="35" l="1"/>
  <c r="D34"/>
  <c r="F35"/>
  <c r="D35" s="1"/>
  <c r="D34" i="34"/>
  <c r="F35"/>
  <c r="D35" s="1"/>
  <c r="I28" i="33"/>
  <c r="D34"/>
  <c r="F35"/>
  <c r="D35" s="1"/>
  <c r="F35" i="32"/>
  <c r="D35" s="1"/>
  <c r="D34"/>
  <c r="F35" i="31"/>
  <c r="D35" s="1"/>
  <c r="D34"/>
  <c r="I16" i="30"/>
  <c r="F34"/>
  <c r="H28"/>
  <c r="I28" s="1"/>
  <c r="F34" i="29"/>
  <c r="H28"/>
  <c r="I28" s="1"/>
  <c r="I16"/>
  <c r="H34"/>
  <c r="H35" s="1"/>
  <c r="I24" i="28"/>
  <c r="I16"/>
  <c r="F34"/>
  <c r="H28"/>
  <c r="I28" s="1"/>
  <c r="I16" i="27"/>
  <c r="F34"/>
  <c r="H28"/>
  <c r="I28" s="1"/>
  <c r="I16" i="23"/>
  <c r="F34"/>
  <c r="H28"/>
  <c r="I28" s="1"/>
  <c r="H34" i="22"/>
  <c r="H35" s="1"/>
  <c r="H27"/>
  <c r="I27" s="1"/>
  <c r="I22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F33" i="21"/>
  <c r="D33" s="1"/>
  <c r="F32"/>
  <c r="Q15"/>
  <c r="P15"/>
  <c r="H32"/>
  <c r="F28"/>
  <c r="E28"/>
  <c r="G27"/>
  <c r="G26"/>
  <c r="G25"/>
  <c r="G23"/>
  <c r="G21"/>
  <c r="G20"/>
  <c r="G19"/>
  <c r="G18"/>
  <c r="G17"/>
  <c r="G16"/>
  <c r="H33" i="18"/>
  <c r="G24"/>
  <c r="F34"/>
  <c r="F33"/>
  <c r="F32"/>
  <c r="Q15"/>
  <c r="P15"/>
  <c r="H32"/>
  <c r="F28"/>
  <c r="E28"/>
  <c r="G27"/>
  <c r="G26"/>
  <c r="G25"/>
  <c r="G23"/>
  <c r="H21"/>
  <c r="G21"/>
  <c r="H20"/>
  <c r="G20"/>
  <c r="H19"/>
  <c r="G19"/>
  <c r="H18"/>
  <c r="G18"/>
  <c r="H17"/>
  <c r="G17"/>
  <c r="H16"/>
  <c r="G16"/>
  <c r="G28" s="1"/>
  <c r="R15"/>
  <c r="F33" i="17"/>
  <c r="F32"/>
  <c r="H32"/>
  <c r="D32" s="1"/>
  <c r="H34"/>
  <c r="H35" s="1"/>
  <c r="F28"/>
  <c r="E28"/>
  <c r="G27"/>
  <c r="G26"/>
  <c r="G25"/>
  <c r="G23"/>
  <c r="G21"/>
  <c r="G20"/>
  <c r="G19"/>
  <c r="G18"/>
  <c r="G17"/>
  <c r="G16"/>
  <c r="H27"/>
  <c r="I27" s="1"/>
  <c r="F33" i="16"/>
  <c r="F32"/>
  <c r="Q15"/>
  <c r="H27" s="1"/>
  <c r="I27" s="1"/>
  <c r="P15"/>
  <c r="H34"/>
  <c r="H35" s="1"/>
  <c r="H32"/>
  <c r="D32" s="1"/>
  <c r="F28"/>
  <c r="E28"/>
  <c r="G27"/>
  <c r="G26"/>
  <c r="G25"/>
  <c r="G23"/>
  <c r="G21"/>
  <c r="G20"/>
  <c r="G19"/>
  <c r="G18"/>
  <c r="G17"/>
  <c r="G16"/>
  <c r="F34" i="15"/>
  <c r="F33"/>
  <c r="D33" s="1"/>
  <c r="F32"/>
  <c r="Q15"/>
  <c r="P15"/>
  <c r="H32"/>
  <c r="E28"/>
  <c r="G27"/>
  <c r="G26"/>
  <c r="G25"/>
  <c r="G23"/>
  <c r="F28"/>
  <c r="G21"/>
  <c r="G20"/>
  <c r="G19"/>
  <c r="G18"/>
  <c r="G17"/>
  <c r="G16"/>
  <c r="G28" s="1"/>
  <c r="F33" i="14"/>
  <c r="F32"/>
  <c r="Q15"/>
  <c r="P15"/>
  <c r="F21"/>
  <c r="F28" s="1"/>
  <c r="E21"/>
  <c r="H32"/>
  <c r="E28"/>
  <c r="G27"/>
  <c r="G26"/>
  <c r="G25"/>
  <c r="G23"/>
  <c r="G21"/>
  <c r="G20"/>
  <c r="G19"/>
  <c r="G18"/>
  <c r="G17"/>
  <c r="G16"/>
  <c r="F33" i="13"/>
  <c r="F32"/>
  <c r="Q15"/>
  <c r="P15"/>
  <c r="F28"/>
  <c r="E28"/>
  <c r="G16"/>
  <c r="H27"/>
  <c r="F32" i="12"/>
  <c r="Q15"/>
  <c r="P15"/>
  <c r="F35" i="30" l="1"/>
  <c r="D35" s="1"/>
  <c r="D34"/>
  <c r="D34" i="29"/>
  <c r="F35"/>
  <c r="D35" s="1"/>
  <c r="D34" i="28"/>
  <c r="F35"/>
  <c r="D35" s="1"/>
  <c r="D34" i="27"/>
  <c r="F35"/>
  <c r="D35" s="1"/>
  <c r="D34" i="23"/>
  <c r="F35"/>
  <c r="D35" s="1"/>
  <c r="I24" i="22"/>
  <c r="I16"/>
  <c r="F34"/>
  <c r="H28"/>
  <c r="I28" s="1"/>
  <c r="H26" i="21"/>
  <c r="I26" s="1"/>
  <c r="H34"/>
  <c r="H35" s="1"/>
  <c r="I22"/>
  <c r="I24"/>
  <c r="G28"/>
  <c r="D32"/>
  <c r="R15"/>
  <c r="H16"/>
  <c r="H18"/>
  <c r="I18" s="1"/>
  <c r="H20"/>
  <c r="I20" s="1"/>
  <c r="H25"/>
  <c r="I25" s="1"/>
  <c r="H27"/>
  <c r="I27" s="1"/>
  <c r="H17"/>
  <c r="I17" s="1"/>
  <c r="H19"/>
  <c r="I19" s="1"/>
  <c r="H21"/>
  <c r="I21" s="1"/>
  <c r="H23"/>
  <c r="I23" s="1"/>
  <c r="D32" i="18"/>
  <c r="H34"/>
  <c r="H35" s="1"/>
  <c r="I22"/>
  <c r="H27"/>
  <c r="I27" s="1"/>
  <c r="H23"/>
  <c r="I23" s="1"/>
  <c r="H25"/>
  <c r="I25" s="1"/>
  <c r="H26"/>
  <c r="I16"/>
  <c r="I17"/>
  <c r="I18"/>
  <c r="I20"/>
  <c r="I24"/>
  <c r="I26"/>
  <c r="I19"/>
  <c r="I21"/>
  <c r="H28"/>
  <c r="I28" s="1"/>
  <c r="D33"/>
  <c r="G28" i="17"/>
  <c r="I22"/>
  <c r="I24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G28" i="16"/>
  <c r="I22"/>
  <c r="I24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15"/>
  <c r="H34"/>
  <c r="H35" s="1"/>
  <c r="H23"/>
  <c r="I23" s="1"/>
  <c r="H26"/>
  <c r="I26" s="1"/>
  <c r="I22"/>
  <c r="H25"/>
  <c r="I25" s="1"/>
  <c r="H27"/>
  <c r="I27" s="1"/>
  <c r="R15"/>
  <c r="H16"/>
  <c r="H18"/>
  <c r="I18" s="1"/>
  <c r="H20"/>
  <c r="I20" s="1"/>
  <c r="H17"/>
  <c r="I17" s="1"/>
  <c r="H19"/>
  <c r="I19" s="1"/>
  <c r="H21"/>
  <c r="I21" s="1"/>
  <c r="D32" i="14"/>
  <c r="H34"/>
  <c r="H35" s="1"/>
  <c r="H27"/>
  <c r="G28"/>
  <c r="I24"/>
  <c r="I22"/>
  <c r="I27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34" i="13"/>
  <c r="H35" s="1"/>
  <c r="G18"/>
  <c r="G20"/>
  <c r="G23"/>
  <c r="G26"/>
  <c r="I27"/>
  <c r="G17"/>
  <c r="G19"/>
  <c r="G21"/>
  <c r="G25"/>
  <c r="G27"/>
  <c r="H32"/>
  <c r="D32" s="1"/>
  <c r="I24"/>
  <c r="I22"/>
  <c r="R15"/>
  <c r="H16"/>
  <c r="H18"/>
  <c r="H20"/>
  <c r="I20" s="1"/>
  <c r="H26"/>
  <c r="I26" s="1"/>
  <c r="H17"/>
  <c r="I17" s="1"/>
  <c r="H19"/>
  <c r="H21"/>
  <c r="I21" s="1"/>
  <c r="H23"/>
  <c r="H25"/>
  <c r="I25" s="1"/>
  <c r="D33"/>
  <c r="D34" i="22" l="1"/>
  <c r="F35"/>
  <c r="D35" s="1"/>
  <c r="H28" i="21"/>
  <c r="I28" s="1"/>
  <c r="I16"/>
  <c r="F34"/>
  <c r="D34" i="18"/>
  <c r="F35"/>
  <c r="D35" s="1"/>
  <c r="I16" i="17"/>
  <c r="F34"/>
  <c r="H28"/>
  <c r="I28" s="1"/>
  <c r="I16" i="16"/>
  <c r="F34"/>
  <c r="H28"/>
  <c r="I28" s="1"/>
  <c r="I24" i="15"/>
  <c r="I16"/>
  <c r="H28"/>
  <c r="I28" s="1"/>
  <c r="I16" i="14"/>
  <c r="F34"/>
  <c r="H28"/>
  <c r="I28" s="1"/>
  <c r="G28" i="13"/>
  <c r="I23"/>
  <c r="I19"/>
  <c r="I18"/>
  <c r="I16"/>
  <c r="F34"/>
  <c r="H28"/>
  <c r="I28" s="1"/>
  <c r="D34" i="21" l="1"/>
  <c r="F35"/>
  <c r="D35" s="1"/>
  <c r="D34" i="17"/>
  <c r="F35"/>
  <c r="D35" s="1"/>
  <c r="D34" i="16"/>
  <c r="F35"/>
  <c r="D35" s="1"/>
  <c r="F35" i="15"/>
  <c r="D35" s="1"/>
  <c r="D34"/>
  <c r="D34" i="14"/>
  <c r="F35"/>
  <c r="D35" s="1"/>
  <c r="D34" i="13"/>
  <c r="F35"/>
  <c r="D35" s="1"/>
  <c r="F33" i="12" l="1"/>
  <c r="I22"/>
  <c r="H34"/>
  <c r="H35" s="1"/>
  <c r="H32"/>
  <c r="D32" s="1"/>
  <c r="F28"/>
  <c r="E28"/>
  <c r="G27"/>
  <c r="G26"/>
  <c r="G25"/>
  <c r="I24"/>
  <c r="G23"/>
  <c r="G21"/>
  <c r="G20"/>
  <c r="G19"/>
  <c r="G18"/>
  <c r="G17"/>
  <c r="G16"/>
  <c r="G28" s="1"/>
  <c r="F33" i="11"/>
  <c r="F32"/>
  <c r="H25"/>
  <c r="Q15"/>
  <c r="P15"/>
  <c r="G27"/>
  <c r="F35" i="10"/>
  <c r="H34" i="11"/>
  <c r="H35" s="1"/>
  <c r="H32"/>
  <c r="E28"/>
  <c r="G26"/>
  <c r="G25"/>
  <c r="I24"/>
  <c r="G23"/>
  <c r="I22"/>
  <c r="G21"/>
  <c r="G20"/>
  <c r="G19"/>
  <c r="G18"/>
  <c r="G17"/>
  <c r="G16"/>
  <c r="F34" i="10"/>
  <c r="F33"/>
  <c r="Q15"/>
  <c r="P15"/>
  <c r="F25"/>
  <c r="H27" i="12" l="1"/>
  <c r="I27" s="1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D32" i="11"/>
  <c r="H27"/>
  <c r="G28"/>
  <c r="I27"/>
  <c r="R15"/>
  <c r="H16"/>
  <c r="H18"/>
  <c r="I18" s="1"/>
  <c r="H20"/>
  <c r="I20" s="1"/>
  <c r="I25"/>
  <c r="F28"/>
  <c r="H17"/>
  <c r="I17" s="1"/>
  <c r="H19"/>
  <c r="I19" s="1"/>
  <c r="H21"/>
  <c r="I21" s="1"/>
  <c r="H23"/>
  <c r="I23" s="1"/>
  <c r="H26"/>
  <c r="I26" s="1"/>
  <c r="D33"/>
  <c r="H27" i="10"/>
  <c r="G27"/>
  <c r="I16" i="12" l="1"/>
  <c r="F34"/>
  <c r="H28"/>
  <c r="I28" s="1"/>
  <c r="I16" i="11"/>
  <c r="F34"/>
  <c r="H28"/>
  <c r="I28" s="1"/>
  <c r="I27" i="10"/>
  <c r="D34" i="12" l="1"/>
  <c r="F35"/>
  <c r="D35" s="1"/>
  <c r="D34" i="11"/>
  <c r="F35"/>
  <c r="D35" s="1"/>
  <c r="H33" i="10"/>
  <c r="D33" s="1"/>
  <c r="H35"/>
  <c r="H36" s="1"/>
  <c r="F29"/>
  <c r="E29"/>
  <c r="H28"/>
  <c r="G28"/>
  <c r="H26"/>
  <c r="G26"/>
  <c r="H25"/>
  <c r="G25"/>
  <c r="H23"/>
  <c r="G23"/>
  <c r="H21"/>
  <c r="G21"/>
  <c r="H20"/>
  <c r="G20"/>
  <c r="H19"/>
  <c r="G19"/>
  <c r="H18"/>
  <c r="G18"/>
  <c r="H17"/>
  <c r="G17"/>
  <c r="H16"/>
  <c r="G16"/>
  <c r="G29" s="1"/>
  <c r="R15"/>
  <c r="F33" i="9"/>
  <c r="F32"/>
  <c r="I23" i="10" l="1"/>
  <c r="I22"/>
  <c r="I24"/>
  <c r="I16"/>
  <c r="I18"/>
  <c r="I20"/>
  <c r="I26"/>
  <c r="I17"/>
  <c r="I19"/>
  <c r="I21"/>
  <c r="I25"/>
  <c r="I28"/>
  <c r="H29"/>
  <c r="I29" s="1"/>
  <c r="D35"/>
  <c r="D34"/>
  <c r="I22" i="9"/>
  <c r="H34"/>
  <c r="H35" s="1"/>
  <c r="H32"/>
  <c r="D32"/>
  <c r="F28"/>
  <c r="E28"/>
  <c r="H27"/>
  <c r="G27"/>
  <c r="H26"/>
  <c r="G26"/>
  <c r="H25"/>
  <c r="I25" s="1"/>
  <c r="G25"/>
  <c r="I24"/>
  <c r="H23"/>
  <c r="G23"/>
  <c r="H21"/>
  <c r="G21"/>
  <c r="H20"/>
  <c r="G20"/>
  <c r="H19"/>
  <c r="G19"/>
  <c r="H18"/>
  <c r="G18"/>
  <c r="H17"/>
  <c r="G17"/>
  <c r="H16"/>
  <c r="G16"/>
  <c r="G28" s="1"/>
  <c r="R15"/>
  <c r="F33" i="8"/>
  <c r="F32"/>
  <c r="H35"/>
  <c r="H34"/>
  <c r="H32"/>
  <c r="D32"/>
  <c r="F28"/>
  <c r="G27"/>
  <c r="E28"/>
  <c r="G26"/>
  <c r="G25"/>
  <c r="I24"/>
  <c r="G23"/>
  <c r="I22"/>
  <c r="G21"/>
  <c r="G20"/>
  <c r="G19"/>
  <c r="G18"/>
  <c r="G17"/>
  <c r="G16"/>
  <c r="G28" s="1"/>
  <c r="H25"/>
  <c r="I25" s="1"/>
  <c r="H27"/>
  <c r="I27" s="1"/>
  <c r="F33" i="7"/>
  <c r="F32"/>
  <c r="G16"/>
  <c r="Q15"/>
  <c r="P15"/>
  <c r="E27"/>
  <c r="E28" s="1"/>
  <c r="Q15" i="62"/>
  <c r="P15"/>
  <c r="H34" i="7"/>
  <c r="H35" s="1"/>
  <c r="D33"/>
  <c r="H32"/>
  <c r="D32"/>
  <c r="F28"/>
  <c r="G27"/>
  <c r="G26"/>
  <c r="G25"/>
  <c r="I24"/>
  <c r="G23"/>
  <c r="I22"/>
  <c r="G21"/>
  <c r="G20"/>
  <c r="G19"/>
  <c r="G18"/>
  <c r="G17"/>
  <c r="I22" i="62"/>
  <c r="F33"/>
  <c r="F32"/>
  <c r="F28"/>
  <c r="H34"/>
  <c r="H35" s="1"/>
  <c r="H32"/>
  <c r="D32"/>
  <c r="E28"/>
  <c r="G27"/>
  <c r="G26"/>
  <c r="G25"/>
  <c r="I24"/>
  <c r="G23"/>
  <c r="G21"/>
  <c r="G20"/>
  <c r="G19"/>
  <c r="G18"/>
  <c r="G17"/>
  <c r="G16"/>
  <c r="H34" i="6"/>
  <c r="H35" s="1"/>
  <c r="F33"/>
  <c r="H32"/>
  <c r="F32"/>
  <c r="D32"/>
  <c r="F28"/>
  <c r="E28"/>
  <c r="G27"/>
  <c r="G26"/>
  <c r="G25"/>
  <c r="I24"/>
  <c r="G23"/>
  <c r="I22"/>
  <c r="G21"/>
  <c r="G20"/>
  <c r="G19"/>
  <c r="G18"/>
  <c r="G17"/>
  <c r="G16"/>
  <c r="G28" s="1"/>
  <c r="Q15"/>
  <c r="P15"/>
  <c r="H27" s="1"/>
  <c r="I27" s="1"/>
  <c r="F34" i="5"/>
  <c r="F33"/>
  <c r="Q15"/>
  <c r="P15"/>
  <c r="F29"/>
  <c r="F36" i="10" l="1"/>
  <c r="D36" s="1"/>
  <c r="I26" i="9"/>
  <c r="I16"/>
  <c r="I17"/>
  <c r="I18"/>
  <c r="I19"/>
  <c r="I20"/>
  <c r="I27"/>
  <c r="I23"/>
  <c r="I21"/>
  <c r="H28"/>
  <c r="I28" s="1"/>
  <c r="F34"/>
  <c r="D34" s="1"/>
  <c r="D33"/>
  <c r="H17" i="8"/>
  <c r="I17" s="1"/>
  <c r="H19"/>
  <c r="I19" s="1"/>
  <c r="H21"/>
  <c r="I21" s="1"/>
  <c r="H23"/>
  <c r="I23" s="1"/>
  <c r="R15"/>
  <c r="H16"/>
  <c r="H18"/>
  <c r="I18" s="1"/>
  <c r="H20"/>
  <c r="I20" s="1"/>
  <c r="H26"/>
  <c r="I26" s="1"/>
  <c r="D33"/>
  <c r="H27" i="7"/>
  <c r="I27" s="1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H27" i="62"/>
  <c r="I27" s="1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D33"/>
  <c r="H17" i="6"/>
  <c r="I17" s="1"/>
  <c r="H19"/>
  <c r="I19" s="1"/>
  <c r="H21"/>
  <c r="I21" s="1"/>
  <c r="H23"/>
  <c r="I23" s="1"/>
  <c r="H25"/>
  <c r="I25" s="1"/>
  <c r="R15"/>
  <c r="H16"/>
  <c r="H18"/>
  <c r="I18" s="1"/>
  <c r="H20"/>
  <c r="I20" s="1"/>
  <c r="H26"/>
  <c r="I26" s="1"/>
  <c r="D33"/>
  <c r="H27" i="5"/>
  <c r="G27"/>
  <c r="H35"/>
  <c r="H36" s="1"/>
  <c r="H33"/>
  <c r="D33"/>
  <c r="E29"/>
  <c r="G28"/>
  <c r="G26"/>
  <c r="G25"/>
  <c r="I24"/>
  <c r="G23"/>
  <c r="I22"/>
  <c r="G21"/>
  <c r="G20"/>
  <c r="G19"/>
  <c r="G18"/>
  <c r="G17"/>
  <c r="G16"/>
  <c r="H28"/>
  <c r="F33" i="4"/>
  <c r="F32"/>
  <c r="Q15"/>
  <c r="P15"/>
  <c r="F35" i="9" l="1"/>
  <c r="D35" s="1"/>
  <c r="F34" i="8"/>
  <c r="H28"/>
  <c r="I28" s="1"/>
  <c r="I16"/>
  <c r="F34" i="62"/>
  <c r="I16" i="7"/>
  <c r="F34"/>
  <c r="H28"/>
  <c r="I28" s="1"/>
  <c r="I25" i="62"/>
  <c r="I16"/>
  <c r="H28"/>
  <c r="I28" s="1"/>
  <c r="F34" i="6"/>
  <c r="H28"/>
  <c r="I28" s="1"/>
  <c r="I16"/>
  <c r="I27" i="5"/>
  <c r="I28"/>
  <c r="G29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4"/>
  <c r="H27" i="4"/>
  <c r="G26"/>
  <c r="H34"/>
  <c r="H35" s="1"/>
  <c r="H32"/>
  <c r="D32"/>
  <c r="F28"/>
  <c r="E28"/>
  <c r="G25"/>
  <c r="I24"/>
  <c r="G23"/>
  <c r="I22"/>
  <c r="G21"/>
  <c r="G20"/>
  <c r="G19"/>
  <c r="G18"/>
  <c r="G17"/>
  <c r="G16"/>
  <c r="F33" i="2"/>
  <c r="F32"/>
  <c r="Q15"/>
  <c r="P15"/>
  <c r="G26"/>
  <c r="H34"/>
  <c r="H35" s="1"/>
  <c r="H32"/>
  <c r="D32"/>
  <c r="F28"/>
  <c r="E28"/>
  <c r="G27"/>
  <c r="G25"/>
  <c r="I24"/>
  <c r="G23"/>
  <c r="I22"/>
  <c r="G21"/>
  <c r="G20"/>
  <c r="G19"/>
  <c r="G18"/>
  <c r="G17"/>
  <c r="G16"/>
  <c r="H27"/>
  <c r="I27" s="1"/>
  <c r="F33" i="64"/>
  <c r="F32"/>
  <c r="D32" s="1"/>
  <c r="Q15"/>
  <c r="P15"/>
  <c r="H27"/>
  <c r="E21"/>
  <c r="G25"/>
  <c r="F21"/>
  <c r="H35"/>
  <c r="H34"/>
  <c r="H32"/>
  <c r="G27"/>
  <c r="G26"/>
  <c r="I24"/>
  <c r="G23"/>
  <c r="I22"/>
  <c r="G21"/>
  <c r="G20"/>
  <c r="G19"/>
  <c r="G18"/>
  <c r="G17"/>
  <c r="G16"/>
  <c r="F33" i="1"/>
  <c r="F32"/>
  <c r="D33"/>
  <c r="Q15"/>
  <c r="P15"/>
  <c r="D34" i="8" l="1"/>
  <c r="F35"/>
  <c r="D35" s="1"/>
  <c r="D34" i="7"/>
  <c r="F35"/>
  <c r="D35" s="1"/>
  <c r="D34" i="62"/>
  <c r="F35"/>
  <c r="D35" s="1"/>
  <c r="D34" i="6"/>
  <c r="F35"/>
  <c r="D35" s="1"/>
  <c r="I16" i="5"/>
  <c r="F35"/>
  <c r="H29"/>
  <c r="I29" s="1"/>
  <c r="G27" i="4"/>
  <c r="I27" s="1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G28" i="2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E28" i="64"/>
  <c r="F28"/>
  <c r="I27"/>
  <c r="G28"/>
  <c r="R15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H34" i="1"/>
  <c r="H35" s="1"/>
  <c r="H32"/>
  <c r="D32" s="1"/>
  <c r="F28"/>
  <c r="E28"/>
  <c r="G27"/>
  <c r="G26"/>
  <c r="G25"/>
  <c r="I24"/>
  <c r="G23"/>
  <c r="I22"/>
  <c r="G21"/>
  <c r="G20"/>
  <c r="G19"/>
  <c r="G18"/>
  <c r="G17"/>
  <c r="G16"/>
  <c r="H27"/>
  <c r="F33" i="26"/>
  <c r="F32"/>
  <c r="Q15"/>
  <c r="H27" s="1"/>
  <c r="I27" s="1"/>
  <c r="P15"/>
  <c r="H34"/>
  <c r="H35" s="1"/>
  <c r="H32"/>
  <c r="D32" s="1"/>
  <c r="F28"/>
  <c r="E28"/>
  <c r="G27"/>
  <c r="G26"/>
  <c r="G25"/>
  <c r="I24"/>
  <c r="G23"/>
  <c r="I22"/>
  <c r="G21"/>
  <c r="G20"/>
  <c r="G19"/>
  <c r="G18"/>
  <c r="G17"/>
  <c r="G16"/>
  <c r="G28" s="1"/>
  <c r="D35" i="5" l="1"/>
  <c r="F36"/>
  <c r="D36" s="1"/>
  <c r="G28" i="4"/>
  <c r="I16"/>
  <c r="F34"/>
  <c r="H28"/>
  <c r="I16" i="2"/>
  <c r="F34"/>
  <c r="H28"/>
  <c r="I28" s="1"/>
  <c r="I16" i="64"/>
  <c r="F34"/>
  <c r="H28"/>
  <c r="I28" s="1"/>
  <c r="I27" i="1"/>
  <c r="G28"/>
  <c r="H17"/>
  <c r="I17" s="1"/>
  <c r="H19"/>
  <c r="I19" s="1"/>
  <c r="H21"/>
  <c r="I21" s="1"/>
  <c r="H23"/>
  <c r="I23" s="1"/>
  <c r="H25"/>
  <c r="I25" s="1"/>
  <c r="R15"/>
  <c r="H16"/>
  <c r="H18"/>
  <c r="I18" s="1"/>
  <c r="H20"/>
  <c r="I20" s="1"/>
  <c r="H26"/>
  <c r="I26" s="1"/>
  <c r="R15" i="26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I28" i="4" l="1"/>
  <c r="D34"/>
  <c r="F35"/>
  <c r="D35" s="1"/>
  <c r="D34" i="2"/>
  <c r="F35"/>
  <c r="D35" s="1"/>
  <c r="D34" i="64"/>
  <c r="F35"/>
  <c r="D35" s="1"/>
  <c r="F34" i="1"/>
  <c r="D34" s="1"/>
  <c r="H28"/>
  <c r="I28" s="1"/>
  <c r="I16"/>
  <c r="I16" i="26"/>
  <c r="F34"/>
  <c r="H28"/>
  <c r="I28" s="1"/>
  <c r="F35" i="1" l="1"/>
  <c r="D35" s="1"/>
  <c r="D34" i="26"/>
  <c r="F35"/>
  <c r="D35" s="1"/>
  <c r="F33" i="25" l="1"/>
  <c r="F32"/>
  <c r="D32" s="1"/>
  <c r="F34"/>
  <c r="Q15"/>
  <c r="P15"/>
  <c r="H34"/>
  <c r="H35" s="1"/>
  <c r="H32"/>
  <c r="F28"/>
  <c r="E28"/>
  <c r="G27"/>
  <c r="G26"/>
  <c r="G25"/>
  <c r="I24"/>
  <c r="G23"/>
  <c r="I22"/>
  <c r="G21"/>
  <c r="G20"/>
  <c r="G19"/>
  <c r="G18"/>
  <c r="G17"/>
  <c r="G16"/>
  <c r="G28" s="1"/>
  <c r="H27"/>
  <c r="I27" s="1"/>
  <c r="F32" i="24"/>
  <c r="Q15"/>
  <c r="P15"/>
  <c r="G28"/>
  <c r="F33"/>
  <c r="G16"/>
  <c r="H34"/>
  <c r="H35" s="1"/>
  <c r="H32"/>
  <c r="D32" s="1"/>
  <c r="F28"/>
  <c r="E28"/>
  <c r="G27"/>
  <c r="G26"/>
  <c r="G25"/>
  <c r="I24"/>
  <c r="G23"/>
  <c r="I22"/>
  <c r="G21"/>
  <c r="G20"/>
  <c r="G19"/>
  <c r="G18"/>
  <c r="G17"/>
  <c r="H27"/>
  <c r="I27" s="1"/>
  <c r="R15" i="25" l="1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R15" i="24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R15" i="20"/>
  <c r="I28" i="19"/>
  <c r="Q15" i="3"/>
  <c r="P15"/>
  <c r="P15" i="57"/>
  <c r="R15" s="1"/>
  <c r="Q15"/>
  <c r="H36"/>
  <c r="H37" s="1"/>
  <c r="H34"/>
  <c r="D34" s="1"/>
  <c r="F30"/>
  <c r="E30"/>
  <c r="G29"/>
  <c r="I28"/>
  <c r="G27"/>
  <c r="N26"/>
  <c r="H26"/>
  <c r="G26"/>
  <c r="G25"/>
  <c r="I24"/>
  <c r="G23"/>
  <c r="I22"/>
  <c r="G21"/>
  <c r="G20"/>
  <c r="G19"/>
  <c r="G18"/>
  <c r="G17"/>
  <c r="G16"/>
  <c r="I27" i="20"/>
  <c r="G30" i="57" l="1"/>
  <c r="I16" i="25"/>
  <c r="H28"/>
  <c r="I28" s="1"/>
  <c r="F34" i="24"/>
  <c r="I16"/>
  <c r="H28"/>
  <c r="I28" s="1"/>
  <c r="R15" i="19"/>
  <c r="R15" i="3"/>
  <c r="H29" i="57"/>
  <c r="I29" s="1"/>
  <c r="H17"/>
  <c r="I17" s="1"/>
  <c r="H19"/>
  <c r="H21"/>
  <c r="I21" s="1"/>
  <c r="H23"/>
  <c r="I23" s="1"/>
  <c r="H27"/>
  <c r="I27" s="1"/>
  <c r="H16"/>
  <c r="H18"/>
  <c r="I18" s="1"/>
  <c r="H20"/>
  <c r="I20" s="1"/>
  <c r="H25"/>
  <c r="I25" s="1"/>
  <c r="I19"/>
  <c r="I26"/>
  <c r="D35"/>
  <c r="I16" l="1"/>
  <c r="F36"/>
  <c r="D34" i="25"/>
  <c r="F35"/>
  <c r="D35" s="1"/>
  <c r="D34" i="24"/>
  <c r="F35"/>
  <c r="D35" s="1"/>
  <c r="H30" i="57"/>
  <c r="I30" s="1"/>
  <c r="D36"/>
  <c r="H35" i="20"/>
  <c r="H36" s="1"/>
  <c r="H33"/>
  <c r="D33" s="1"/>
  <c r="F29"/>
  <c r="E29"/>
  <c r="H28"/>
  <c r="G28"/>
  <c r="H26"/>
  <c r="G26"/>
  <c r="H25"/>
  <c r="G25"/>
  <c r="I24"/>
  <c r="H23"/>
  <c r="G23"/>
  <c r="I22"/>
  <c r="H21"/>
  <c r="G21"/>
  <c r="H20"/>
  <c r="G20"/>
  <c r="H19"/>
  <c r="G19"/>
  <c r="H18"/>
  <c r="G18"/>
  <c r="H17"/>
  <c r="G17"/>
  <c r="H16"/>
  <c r="G16"/>
  <c r="H34" i="19"/>
  <c r="H27"/>
  <c r="G27"/>
  <c r="H36"/>
  <c r="H37" s="1"/>
  <c r="F30"/>
  <c r="E30"/>
  <c r="H29"/>
  <c r="G29"/>
  <c r="H26"/>
  <c r="G26"/>
  <c r="H25"/>
  <c r="G25"/>
  <c r="I24"/>
  <c r="H23"/>
  <c r="G23"/>
  <c r="I22"/>
  <c r="H21"/>
  <c r="G21"/>
  <c r="H20"/>
  <c r="G20"/>
  <c r="H19"/>
  <c r="G19"/>
  <c r="H18"/>
  <c r="G18"/>
  <c r="H17"/>
  <c r="G17"/>
  <c r="H16"/>
  <c r="F36" s="1"/>
  <c r="G16"/>
  <c r="J33" i="3"/>
  <c r="J32"/>
  <c r="F33"/>
  <c r="F32"/>
  <c r="K35"/>
  <c r="H34"/>
  <c r="H35" s="1"/>
  <c r="H32"/>
  <c r="F28"/>
  <c r="E28"/>
  <c r="H27"/>
  <c r="G27"/>
  <c r="N26"/>
  <c r="H26"/>
  <c r="G26"/>
  <c r="H25"/>
  <c r="G25"/>
  <c r="I24"/>
  <c r="H23"/>
  <c r="G23"/>
  <c r="I22"/>
  <c r="H21"/>
  <c r="G21"/>
  <c r="I21" s="1"/>
  <c r="H20"/>
  <c r="G20"/>
  <c r="H19"/>
  <c r="G19"/>
  <c r="H18"/>
  <c r="G18"/>
  <c r="H17"/>
  <c r="G17"/>
  <c r="H16"/>
  <c r="F34" s="1"/>
  <c r="D34" s="1"/>
  <c r="G16"/>
  <c r="D33" l="1"/>
  <c r="F35" i="20"/>
  <c r="I27" i="19"/>
  <c r="F37" i="57"/>
  <c r="D37" s="1"/>
  <c r="J35" i="3"/>
  <c r="D34" i="19"/>
  <c r="G28" i="3"/>
  <c r="H30" i="19"/>
  <c r="G30"/>
  <c r="G29" i="20"/>
  <c r="I20"/>
  <c r="I23"/>
  <c r="I16"/>
  <c r="I17"/>
  <c r="I18"/>
  <c r="I19"/>
  <c r="I21"/>
  <c r="I25"/>
  <c r="I26"/>
  <c r="I28"/>
  <c r="H29"/>
  <c r="D35"/>
  <c r="D34"/>
  <c r="I23" i="19"/>
  <c r="I17"/>
  <c r="I18"/>
  <c r="I19"/>
  <c r="I20"/>
  <c r="I21"/>
  <c r="I25"/>
  <c r="I26"/>
  <c r="I29"/>
  <c r="I16"/>
  <c r="D36"/>
  <c r="D35"/>
  <c r="D32" i="3"/>
  <c r="I19"/>
  <c r="I25"/>
  <c r="I17"/>
  <c r="H28"/>
  <c r="I23"/>
  <c r="I26"/>
  <c r="I27"/>
  <c r="I28"/>
  <c r="I18"/>
  <c r="I20"/>
  <c r="I16"/>
  <c r="I30" i="19" l="1"/>
  <c r="I29" i="20"/>
  <c r="F36"/>
  <c r="D36" s="1"/>
  <c r="F37" i="19"/>
  <c r="D37" s="1"/>
  <c r="F35" i="3"/>
  <c r="D35" s="1"/>
  <c r="M12" i="11" l="1"/>
</calcChain>
</file>

<file path=xl/sharedStrings.xml><?xml version="1.0" encoding="utf-8"?>
<sst xmlns="http://schemas.openxmlformats.org/spreadsheetml/2006/main" count="5983" uniqueCount="331">
  <si>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</si>
  <si>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</si>
  <si>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</si>
  <si>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</si>
  <si>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</si>
  <si>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</si>
  <si>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</si>
  <si>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• Площадь придомовой территории,
входящей в состав общего имущества МКД</t>
  </si>
  <si>
    <t>Содержание общего
имущества МКД (руб.)</t>
  </si>
  <si>
    <t>Текущий ремонт 
общего имущества 
МКД (руб.)</t>
  </si>
  <si>
    <t>____________________</t>
  </si>
  <si>
    <t>Я. И. Егоров</t>
  </si>
  <si>
    <t>подпись</t>
  </si>
  <si>
    <t>Айвазовского 16</t>
  </si>
  <si>
    <t>660,6 кв. м.</t>
  </si>
  <si>
    <t>612,6 кв. м.</t>
  </si>
  <si>
    <t>0 кв. м.</t>
  </si>
  <si>
    <t>931,9 кв. м. - грунт;
180,2 кв. м. - асфальт</t>
  </si>
  <si>
    <t>1. Начислено</t>
  </si>
  <si>
    <t>2. Оплачено</t>
  </si>
  <si>
    <t>Айвазовского 18</t>
  </si>
  <si>
    <t>1356 кв. м. - грунт</t>
  </si>
  <si>
    <t>682,5 кв. м.</t>
  </si>
  <si>
    <t>634,5 кв. м.</t>
  </si>
  <si>
    <t>Айвазовского 20</t>
  </si>
  <si>
    <t>399,7 кв. м.</t>
  </si>
  <si>
    <t>689,8 кв. м. - грунт;
108,2 кв. м. - асфальт</t>
  </si>
  <si>
    <t>Волна Революции 36</t>
  </si>
  <si>
    <t>Грессовская 1</t>
  </si>
  <si>
    <t>885 кв. м.</t>
  </si>
  <si>
    <t>991 кв. м.</t>
  </si>
  <si>
    <t>1102,5 кв. м. - грунт;
530 кв. м. - асфальт</t>
  </si>
  <si>
    <t>Грессовская 3</t>
  </si>
  <si>
    <t>1059,6 кв. м.</t>
  </si>
  <si>
    <t>975,3 кв. м.</t>
  </si>
  <si>
    <t>1465,1 кв. м. - грунт;
160 кв. м. - асфальт</t>
  </si>
  <si>
    <t>Грессовская 7</t>
  </si>
  <si>
    <t>567,9 кв. м.</t>
  </si>
  <si>
    <t>481,2 кв. м.</t>
  </si>
  <si>
    <t>37,3 кв. м.</t>
  </si>
  <si>
    <t>1991,5 кв. м. - грунт;
213 кв. м. - асфальт</t>
  </si>
  <si>
    <t>Грессовская 15</t>
  </si>
  <si>
    <t>586 кв. м.</t>
  </si>
  <si>
    <t>2748,8 кв. м. - грунт;
150 кв. м. - асфальт</t>
  </si>
  <si>
    <t>Грессовская 17</t>
  </si>
  <si>
    <t>567,1 кв. м.</t>
  </si>
  <si>
    <t>530,7 кв. м.</t>
  </si>
  <si>
    <t>2711,2 кв. м. - грунт;
150 кв. м. - асфальт</t>
  </si>
  <si>
    <t>Грессовская 19</t>
  </si>
  <si>
    <t>1090,1 кв. м.</t>
  </si>
  <si>
    <t>1006,2 кв. м.</t>
  </si>
  <si>
    <t>735,2 кв. м. - грунт;
406,3 кв. м. - асфальт</t>
  </si>
  <si>
    <t>Демократическая 18</t>
  </si>
  <si>
    <t>393,2 кв. м.</t>
  </si>
  <si>
    <t>368,5 кв. м.</t>
  </si>
  <si>
    <t>1237,3 кв. м. - грунт;
130 кв. м. - асфальт</t>
  </si>
  <si>
    <t>Демократическая 20</t>
  </si>
  <si>
    <t>387,4 кв. м.</t>
  </si>
  <si>
    <t>364,3 кв. м.</t>
  </si>
  <si>
    <t>589,1 кв. м. - грунт;
100 кв. м. - асфальт</t>
  </si>
  <si>
    <t>Демократическая 22</t>
  </si>
  <si>
    <t>680,7 кв. м.</t>
  </si>
  <si>
    <t>891,8 кв. м. - грунт;
130 кв. м. - асфальт</t>
  </si>
  <si>
    <t>Демократическая 24</t>
  </si>
  <si>
    <t>680,6 кв. м.</t>
  </si>
  <si>
    <t>671,6 кв. м. - грунт;
187 кв. м. - асфальт</t>
  </si>
  <si>
    <t>Землячки 13</t>
  </si>
  <si>
    <t>399,1 кв. м.</t>
  </si>
  <si>
    <t>371,7 кв. м.</t>
  </si>
  <si>
    <t>Землячки 15</t>
  </si>
  <si>
    <t>663,2 кв. м.</t>
  </si>
  <si>
    <t>615,3 кв. м.</t>
  </si>
  <si>
    <t>507,5 кв. м. - грунт;
145 кв. м. - асфальт</t>
  </si>
  <si>
    <t>Землячки 22</t>
  </si>
  <si>
    <t>661,2кв. м.</t>
  </si>
  <si>
    <t>534,5 кв. м.</t>
  </si>
  <si>
    <t>79,7 кв. м.</t>
  </si>
  <si>
    <t>2669,8 кв. м. - грунт</t>
  </si>
  <si>
    <t>Землячки 24</t>
  </si>
  <si>
    <t>680 кв. м.</t>
  </si>
  <si>
    <t>606,4 кв. м.</t>
  </si>
  <si>
    <t>29,2 кв. м.</t>
  </si>
  <si>
    <t>875,6 кв. м. - грунт;
168,5 - асфальт.</t>
  </si>
  <si>
    <t>3736,4 кв. м.</t>
  </si>
  <si>
    <t>761,8 кв. м.</t>
  </si>
  <si>
    <t>772 кв. м. - грунт;
1263 - асфальт.</t>
  </si>
  <si>
    <t>3681,5 кв. м.</t>
  </si>
  <si>
    <t>766,7 кв. м.</t>
  </si>
  <si>
    <t>1520 кв. м. - грунт;
412 - асфальт.</t>
  </si>
  <si>
    <t>Либкнехта 11</t>
  </si>
  <si>
    <t>1252,2 кв. м.</t>
  </si>
  <si>
    <t>268,8 кв. м.</t>
  </si>
  <si>
    <t>1820,6 кв. м. - грунт;
51,6 кв. м. - асфальт</t>
  </si>
  <si>
    <t>К. Либкнехта 11а</t>
  </si>
  <si>
    <t>744,5 кв. м.</t>
  </si>
  <si>
    <t>561,4 кв. м.</t>
  </si>
  <si>
    <t>97,6 кв. м.</t>
  </si>
  <si>
    <t>494 кв. м. - грунт;
381 - асфальт.</t>
  </si>
  <si>
    <t>К. Либкнехта 12</t>
  </si>
  <si>
    <t>619,3 кв. м.</t>
  </si>
  <si>
    <t>К. Либкнехта 14</t>
  </si>
  <si>
    <t>820,3 кв. м.</t>
  </si>
  <si>
    <t>753,7 кв. м.</t>
  </si>
  <si>
    <t>1926,9 кв. м. - грунт;
310 - асфальт.</t>
  </si>
  <si>
    <t>К. Либкнехта 17</t>
  </si>
  <si>
    <t>443,3 кв. м.</t>
  </si>
  <si>
    <t>393,3 кв. м.</t>
  </si>
  <si>
    <t>К. Либкнехта 23</t>
  </si>
  <si>
    <t>441,3 кв. м.</t>
  </si>
  <si>
    <t>395,5 кв. м.</t>
  </si>
  <si>
    <t>Карла Маркса 60</t>
  </si>
  <si>
    <t>763,2 кв. м.</t>
  </si>
  <si>
    <t>53,9 кв. м.</t>
  </si>
  <si>
    <t>899,8 кв. м. - грунт;
190 кв. м. - асфальт</t>
  </si>
  <si>
    <t>Карла Маркса 62</t>
  </si>
  <si>
    <t>443,5 кв. м.</t>
  </si>
  <si>
    <t>405,4 кв. м.</t>
  </si>
  <si>
    <t>2100,3 кв. м. - грунт;
140 кв. м. - асфальт</t>
  </si>
  <si>
    <t>Краснофлотская 19</t>
  </si>
  <si>
    <t>650,8 кв. м.</t>
  </si>
  <si>
    <t>601,6 кв. м.</t>
  </si>
  <si>
    <t>1481,2 кв. м. - грунт;
227 кв. м. - асфальт</t>
  </si>
  <si>
    <t>Краснофлотская 21</t>
  </si>
  <si>
    <t>433,2 кв. м.</t>
  </si>
  <si>
    <t>481,8 кв. м.</t>
  </si>
  <si>
    <t>924,7 кв. м. - грунт;
103,2 кв. м. - асфальт</t>
  </si>
  <si>
    <t>Пичугина 1</t>
  </si>
  <si>
    <t>668,5 кв. м.</t>
  </si>
  <si>
    <t>965,8 кв. м. - грунт;
240 кв. м. - асфальт</t>
  </si>
  <si>
    <t>Пичугина 3</t>
  </si>
  <si>
    <t>674,6 кв. м.</t>
  </si>
  <si>
    <t>622,1 кв. м.</t>
  </si>
  <si>
    <t>911,2 кв. м. - грунт;
200,8 кв. м. - асфальт</t>
  </si>
  <si>
    <t>Пичугина 5</t>
  </si>
  <si>
    <t>397,3 кв. м.</t>
  </si>
  <si>
    <t>585,7 кв. м. - грунт;
200 кв. м. - асфальт</t>
  </si>
  <si>
    <t>Пичугина 9</t>
  </si>
  <si>
    <t>348,3 кв. м.</t>
  </si>
  <si>
    <t>42,8 кв. м.</t>
  </si>
  <si>
    <t>1082,5 кв. м. - грунт;
193,3 кв. м. - асфальт</t>
  </si>
  <si>
    <t>Пичугина 9а</t>
  </si>
  <si>
    <t>640,9 кв. м.</t>
  </si>
  <si>
    <t>0 кв. м. - грунт;
0 кв. м. - асфальт</t>
  </si>
  <si>
    <t>Пичугина 10</t>
  </si>
  <si>
    <t>471,4 кв. м.</t>
  </si>
  <si>
    <t>425,1 кв. м.</t>
  </si>
  <si>
    <t>600,9 кв. м. - грунт</t>
  </si>
  <si>
    <t>Пичугина 11</t>
  </si>
  <si>
    <t>899,9 кв. м. - грунт;
182 кв. м. - асфальт</t>
  </si>
  <si>
    <t>Пичугина 12</t>
  </si>
  <si>
    <t>689 кв. м.</t>
  </si>
  <si>
    <t>476,2 кв. м.</t>
  </si>
  <si>
    <t>426,2 кв. м.</t>
  </si>
  <si>
    <t>898,9 кв. м. - грунт;
55,6 кв. м. - асфальт</t>
  </si>
  <si>
    <t>Пичугина 13</t>
  </si>
  <si>
    <t>689,5 кв. м.</t>
  </si>
  <si>
    <t>480,3 кв. м.</t>
  </si>
  <si>
    <t>159,6 кв. м.</t>
  </si>
  <si>
    <t>1145,5 кв. м. - грунт;
182 кв. м. - асфальт</t>
  </si>
  <si>
    <t>103 кв. м.</t>
  </si>
  <si>
    <t>Пичугина 14</t>
  </si>
  <si>
    <t>474,7 кв. м.</t>
  </si>
  <si>
    <t>427,5 кв. м.</t>
  </si>
  <si>
    <t>1517,2 кв. м. - грунт</t>
  </si>
  <si>
    <t>Пичугина 15</t>
  </si>
  <si>
    <t>623,8 кв. м.</t>
  </si>
  <si>
    <t>575,5 кв. м.</t>
  </si>
  <si>
    <t>1187,7 кв. м. - грунт;
130 кв. м. - асфальт</t>
  </si>
  <si>
    <t>Пичугина 16</t>
  </si>
  <si>
    <t>475,1 кв. м.</t>
  </si>
  <si>
    <t>428,6 кв. м.</t>
  </si>
  <si>
    <t>1054,4 кв. м. - грунт</t>
  </si>
  <si>
    <t>Пичугина 17</t>
  </si>
  <si>
    <t>382,6 кв. м.</t>
  </si>
  <si>
    <t>315,8 кв. м.</t>
  </si>
  <si>
    <t>Пичугина 19</t>
  </si>
  <si>
    <t>676,1 кв. м.</t>
  </si>
  <si>
    <t>627,8 кв. м.</t>
  </si>
  <si>
    <t>751,5 кв. м. - грунт;
131,6 кв. м. - асфальт</t>
  </si>
  <si>
    <t>1935,8 кв. м. - грунт;
131,6 кв. м. - асфальт</t>
  </si>
  <si>
    <t>Пичугина 20</t>
  </si>
  <si>
    <t>481,1 кв. м.</t>
  </si>
  <si>
    <t>434,6кв. м.</t>
  </si>
  <si>
    <t>Пичугина 21</t>
  </si>
  <si>
    <t>400,1 кв. м.</t>
  </si>
  <si>
    <t>376,1 кв. м.</t>
  </si>
  <si>
    <t>Пичугина 22</t>
  </si>
  <si>
    <t>483 кв. м.</t>
  </si>
  <si>
    <t>1180,8 кв. м. - грунт</t>
  </si>
  <si>
    <t>Пичугина 23</t>
  </si>
  <si>
    <t>687,6 кв. м.</t>
  </si>
  <si>
    <t>638,7 кв. м.</t>
  </si>
  <si>
    <t>1439 кв. м. - грунт;
130 кв. м. - асфальт</t>
  </si>
  <si>
    <t>Пичугина 24</t>
  </si>
  <si>
    <t>485,8 кв. м.</t>
  </si>
  <si>
    <t>437 кв. м.</t>
  </si>
  <si>
    <t>Розы Люксембург 2</t>
  </si>
  <si>
    <t>478 кв. м.</t>
  </si>
  <si>
    <t>437,1 кв. м.</t>
  </si>
  <si>
    <t>Розы Люксембург 2а</t>
  </si>
  <si>
    <t>Северная 4</t>
  </si>
  <si>
    <t>622 кв. м.</t>
  </si>
  <si>
    <t>916,8 кв. м. - грунт</t>
  </si>
  <si>
    <t>Седова 4а</t>
  </si>
  <si>
    <t>921,3 кв. м.</t>
  </si>
  <si>
    <t>848,3 кв. м.</t>
  </si>
  <si>
    <t>Седова 8а</t>
  </si>
  <si>
    <t>597,9 кв. м.</t>
  </si>
  <si>
    <t>549,5 кв. м.</t>
  </si>
  <si>
    <t>1543,9 кв. м. - грунт;
598,2 кв. м. - асфальт</t>
  </si>
  <si>
    <t>331,7 кв. м. - грунт;
1312,5 кв. м. - асфальт</t>
  </si>
  <si>
    <t>Седова 15</t>
  </si>
  <si>
    <t>1277,5 кв. м.</t>
  </si>
  <si>
    <t>1163,4 кв. м.</t>
  </si>
  <si>
    <t>2980,3 кв. м. - грунт;
1923,5 кв. м. - асфальт</t>
  </si>
  <si>
    <t>Седова 15а</t>
  </si>
  <si>
    <t>1939,8 кв. м.</t>
  </si>
  <si>
    <t>1151,2 кв. м. - грунт;
703 кв. м. - асфальт</t>
  </si>
  <si>
    <t>Седова 21</t>
  </si>
  <si>
    <t>2146,9 кв. м.</t>
  </si>
  <si>
    <t>1173,5 кв. м. - грунт;
528,6 кв. м. - асфальт</t>
  </si>
  <si>
    <t>Седова 23</t>
  </si>
  <si>
    <t>1500 кв. м.</t>
  </si>
  <si>
    <t>1387,1 кв. м.</t>
  </si>
  <si>
    <t>Седова 25</t>
  </si>
  <si>
    <t>1306,8 кв. м.</t>
  </si>
  <si>
    <t>1198,2 кв. м.</t>
  </si>
  <si>
    <t>Степана Разина 28</t>
  </si>
  <si>
    <t>987,2 кв. м.</t>
  </si>
  <si>
    <t>1587,7 кв. м. - грунт;
576 кв. м. - асфальт</t>
  </si>
  <si>
    <t>Шаумяна 2а</t>
  </si>
  <si>
    <t>639,3 кв. м.</t>
  </si>
  <si>
    <t>1614,6 кв. м. - грунт</t>
  </si>
  <si>
    <t>Трудовая 7а</t>
  </si>
  <si>
    <t>416,9 кв. м.</t>
  </si>
  <si>
    <t>747,6 кв. м. - грунт</t>
  </si>
  <si>
    <t>Трудовая 36а</t>
  </si>
  <si>
    <t>339,2 кв. м.</t>
  </si>
  <si>
    <t>577,6 кв. м. - грунт</t>
  </si>
  <si>
    <t>Трудовая 40а</t>
  </si>
  <si>
    <t>345,5 кв. м.</t>
  </si>
  <si>
    <t>933,2 кв. м. - грунт</t>
  </si>
  <si>
    <t>Щорса 16</t>
  </si>
  <si>
    <t>488,9 кв. м.</t>
  </si>
  <si>
    <t>В. Н. Мосюкова</t>
  </si>
  <si>
    <t>4. Остаток на конец отчетного периода
("-" - перевыполнено работ; "+" - недовыполнено работ)</t>
  </si>
  <si>
    <t>1284,4 кв. м.</t>
  </si>
  <si>
    <t>538,2 кв. м.</t>
  </si>
  <si>
    <t>624,1 кв. м.</t>
  </si>
  <si>
    <t>635,4 кв. м.</t>
  </si>
  <si>
    <t>364,4 кв. м.</t>
  </si>
  <si>
    <t>364,9 кв. м.</t>
  </si>
  <si>
    <t>364,6 кв. м.</t>
  </si>
  <si>
    <t>634 кв. м.</t>
  </si>
  <si>
    <t>611,6 кв. м.</t>
  </si>
  <si>
    <t>1086,6 кв. м.</t>
  </si>
  <si>
    <t>624,9 кв. м.</t>
  </si>
  <si>
    <t>642,7 кв. м.</t>
  </si>
  <si>
    <t>552,5 кв. м.</t>
  </si>
  <si>
    <t>373,9 кв. м.</t>
  </si>
  <si>
    <t>281,5 кв. м.</t>
  </si>
  <si>
    <t>537,2 кв. м.</t>
  </si>
  <si>
    <t>434,6 кв. м.</t>
  </si>
  <si>
    <t>435,5 кв. м.</t>
  </si>
  <si>
    <t>1736,8 кв. м.</t>
  </si>
  <si>
    <t>899,8 кв. м.</t>
  </si>
  <si>
    <t>434,8 кв. м.</t>
  </si>
  <si>
    <t>Директор ООО "Партнер-1"</t>
  </si>
  <si>
    <t>Главный бухгалтер ООО "Партнер-1"</t>
  </si>
  <si>
    <t>Экономист ООО "Партнер-1"</t>
  </si>
  <si>
    <t>Инженер по ремонту ООО "Партнер-1"</t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</si>
  <si>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</si>
  <si>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</si>
  <si>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>Рентабельность</t>
  </si>
  <si>
    <t>Плановые затраты (руб.)</t>
  </si>
  <si>
    <t>Фактические затраты (руб.)</t>
  </si>
  <si>
    <t>Разница</t>
  </si>
  <si>
    <t>3.Выполнено</t>
  </si>
  <si>
    <t>Итого</t>
  </si>
  <si>
    <t>Профдезобработка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</si>
  <si>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</si>
  <si>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</si>
  <si>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color theme="1"/>
        <rFont val="Times New Roman"/>
        <family val="1"/>
        <charset val="204"/>
      </rPr>
      <t>Услуги управляющей организации: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и т.д.</t>
    </r>
  </si>
  <si>
    <r>
      <rPr>
        <b/>
        <sz val="10"/>
        <color theme="1"/>
        <rFont val="Times New Roman"/>
        <family val="1"/>
        <charset val="204"/>
      </rPr>
      <t>Прочие расходы:</t>
    </r>
    <r>
      <rPr>
        <sz val="10"/>
        <color theme="1"/>
        <rFont val="Times New Roman"/>
        <family val="1"/>
        <charset val="204"/>
      </rPr>
      <t xml:space="preserve">
- услуги банка, статистики;
- услуги информационно-вычислительного центра;
- услуги паспортно-визовой службы;
- затраты на оргтехнику</t>
    </r>
  </si>
  <si>
    <t>Обслуживание ОПУ тепловой энергии</t>
  </si>
  <si>
    <t>Трудовая 2а</t>
  </si>
  <si>
    <t>Трудовая 4а</t>
  </si>
  <si>
    <t>846,2 кв. м.</t>
  </si>
  <si>
    <t>Отчет об оказанных услугах и выполненных работах по содержанию и текущему ремонту общего имущества в МКД за 2015 год</t>
  </si>
  <si>
    <t>начислено СЖ 1 полугодие</t>
  </si>
  <si>
    <t>начислено СЖ 2 полугодие</t>
  </si>
  <si>
    <t>факт СЖ 1 полугодие</t>
  </si>
  <si>
    <t>факт СЖ 2 полугодие</t>
  </si>
  <si>
    <t>Виды работ и затрат</t>
  </si>
  <si>
    <t>периодичность выполнения работ и услуг</t>
  </si>
  <si>
    <t>единица измерения работы/       услуги</t>
  </si>
  <si>
    <t>ст-ть на 1 кв. м общей жилой  площади (руб. в мес.) I полугодие 2015</t>
  </si>
  <si>
    <t>ст-ть на 1 кв. м общей жилой  площади (руб. в мес.) II полугодие 2015</t>
  </si>
  <si>
    <t>стоимость выполненной работы/оказанной услуги</t>
  </si>
  <si>
    <t>согласно договора  управления МКД</t>
  </si>
  <si>
    <t>руб.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</si>
  <si>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</si>
  <si>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 xml:space="preserve">согласно договора  </t>
  </si>
  <si>
    <t>постоянно</t>
  </si>
  <si>
    <t xml:space="preserve">Вывоз ТБО 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</si>
  <si>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</si>
  <si>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 xml:space="preserve">Текущий ремонт 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</si>
  <si>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арендная плата;
- амортизация;
- транспортные расходы;
- затраты на канц.товары, телефонную связь и т. д.</t>
    </r>
  </si>
  <si>
    <t>Отчет по затратам на управление, содержание и ремонт общего имущества МКД за 2015 год</t>
  </si>
  <si>
    <t>начислено всего</t>
  </si>
  <si>
    <t>Водоснабжение, водоотведение</t>
  </si>
  <si>
    <t>Электроэнергия</t>
  </si>
  <si>
    <t>Т. В. Павлова</t>
  </si>
  <si>
    <t>Н.Е. Горбатенко</t>
  </si>
  <si>
    <t xml:space="preserve">Изготовление техпаспорта </t>
  </si>
  <si>
    <t>единожды</t>
  </si>
  <si>
    <t>единица измерения работы/               услуги</t>
  </si>
  <si>
    <t>2709,2 кв. м.</t>
  </si>
  <si>
    <t>1819 кв. м.</t>
  </si>
  <si>
    <t>Приложение № 1</t>
  </si>
  <si>
    <t>Ежегодный отчет Управляющей организации ООО "Партнер-1" о выполнении Договора о деятельности за отчетный период с 01.01.2015 г. по 31.12.2015г.</t>
  </si>
  <si>
    <t>Разница           (-) экономия, (+)перерасход</t>
  </si>
  <si>
    <t>Разница                       (-) экономия, (+)перерасход</t>
  </si>
  <si>
    <t>согласно договора</t>
  </si>
  <si>
    <t>882,1 кв. м.</t>
  </si>
  <si>
    <t>_____________________</t>
  </si>
  <si>
    <t>Вывоз ЖБО</t>
  </si>
  <si>
    <t>375,2 кв. м.</t>
  </si>
  <si>
    <t>2661,7 кв. м.</t>
  </si>
  <si>
    <t>К. Либкнехта 1/2</t>
  </si>
  <si>
    <t>К. Либкнехта 2/2Н</t>
  </si>
</sst>
</file>

<file path=xl/styles.xml><?xml version="1.0" encoding="utf-8"?>
<styleSheet xmlns="http://schemas.openxmlformats.org/spreadsheetml/2006/main">
  <numFmts count="4">
    <numFmt numFmtId="164" formatCode="#&quot; &quot;?/4"/>
    <numFmt numFmtId="165" formatCode="0.000"/>
    <numFmt numFmtId="166" formatCode="0.0000"/>
    <numFmt numFmtId="167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/>
    <xf numFmtId="2" fontId="4" fillId="0" borderId="0" xfId="0" applyNumberFormat="1" applyFont="1"/>
    <xf numFmtId="0" fontId="6" fillId="0" borderId="0" xfId="0" applyFont="1" applyAlignment="1">
      <alignment horizontal="center" vertical="center"/>
    </xf>
    <xf numFmtId="2" fontId="6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4" fillId="0" borderId="0" xfId="0" applyFont="1" applyAlignment="1">
      <alignment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0" fontId="2" fillId="0" borderId="27" xfId="0" applyFont="1" applyBorder="1"/>
    <xf numFmtId="2" fontId="2" fillId="0" borderId="2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vertical="center"/>
    </xf>
    <xf numFmtId="2" fontId="2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6" fillId="0" borderId="7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6" fillId="0" borderId="17" xfId="0" applyFont="1" applyBorder="1"/>
    <xf numFmtId="2" fontId="6" fillId="0" borderId="16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5" xfId="0" applyFont="1" applyBorder="1"/>
    <xf numFmtId="2" fontId="2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2" fontId="2" fillId="0" borderId="3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4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8" fillId="0" borderId="50" xfId="0" applyFont="1" applyBorder="1" applyAlignment="1">
      <alignment horizontal="left"/>
    </xf>
    <xf numFmtId="0" fontId="8" fillId="0" borderId="2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2" fontId="6" fillId="0" borderId="2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2" fillId="0" borderId="0" xfId="0" applyFont="1" applyAlignment="1"/>
    <xf numFmtId="2" fontId="1" fillId="0" borderId="0" xfId="0" applyNumberFormat="1" applyFont="1" applyAlignment="1">
      <alignment horizontal="center"/>
    </xf>
    <xf numFmtId="2" fontId="2" fillId="0" borderId="36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" fontId="2" fillId="0" borderId="34" xfId="0" applyNumberFormat="1" applyFont="1" applyBorder="1" applyAlignment="1"/>
    <xf numFmtId="2" fontId="2" fillId="0" borderId="0" xfId="0" applyNumberFormat="1" applyFont="1" applyBorder="1" applyAlignment="1"/>
    <xf numFmtId="0" fontId="6" fillId="0" borderId="0" xfId="0" applyFont="1" applyAlignment="1"/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 shrinkToFit="1"/>
    </xf>
    <xf numFmtId="0" fontId="9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27" xfId="0" applyFont="1" applyBorder="1" applyAlignment="1">
      <alignment vertical="top" wrapText="1"/>
    </xf>
    <xf numFmtId="0" fontId="8" fillId="0" borderId="21" xfId="0" applyFont="1" applyBorder="1" applyAlignment="1">
      <alignment horizontal="left"/>
    </xf>
    <xf numFmtId="2" fontId="2" fillId="0" borderId="53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wrapText="1" shrinkToFit="1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35" xfId="0" applyNumberFormat="1" applyFont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wrapText="1"/>
    </xf>
    <xf numFmtId="0" fontId="6" fillId="0" borderId="48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/>
    </xf>
    <xf numFmtId="2" fontId="9" fillId="0" borderId="48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67" fontId="10" fillId="0" borderId="0" xfId="0" applyNumberFormat="1" applyFont="1" applyFill="1" applyBorder="1"/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9"/>
  <sheetViews>
    <sheetView tabSelected="1"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28515625" style="1" customWidth="1"/>
    <col min="3" max="3" width="11.42578125" style="50" customWidth="1"/>
    <col min="4" max="4" width="8.7109375" style="3" customWidth="1"/>
    <col min="5" max="5" width="9.7109375" style="3" customWidth="1"/>
    <col min="6" max="6" width="10.140625" style="3" customWidth="1"/>
    <col min="7" max="7" width="9.85546875" style="1" customWidth="1"/>
    <col min="8" max="8" width="10.28515625" style="1" customWidth="1"/>
    <col min="9" max="11" width="11" style="3" customWidth="1"/>
    <col min="12" max="12" width="12.5703125" style="1" customWidth="1"/>
    <col min="13" max="13" width="12.85546875" style="1" customWidth="1"/>
    <col min="14" max="14" width="13.85546875" style="339" customWidth="1"/>
    <col min="15" max="19" width="9.140625" style="339"/>
    <col min="20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  <c r="J1" s="149"/>
      <c r="K1" s="149"/>
    </row>
    <row r="2" spans="2:18" ht="19.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150"/>
      <c r="K2" s="150"/>
    </row>
    <row r="3" spans="2:18" ht="22.5" customHeight="1">
      <c r="B3" s="313"/>
      <c r="C3" s="313"/>
      <c r="D3" s="313"/>
      <c r="E3" s="313"/>
      <c r="F3" s="313"/>
      <c r="G3" s="313"/>
      <c r="H3" s="313"/>
      <c r="I3" s="313"/>
      <c r="J3" s="150"/>
      <c r="K3" s="150"/>
    </row>
    <row r="4" spans="2:18">
      <c r="D4" s="299"/>
      <c r="E4" s="299"/>
      <c r="F4" s="299"/>
    </row>
    <row r="5" spans="2:18">
      <c r="B5" s="1" t="s">
        <v>0</v>
      </c>
      <c r="D5" s="299" t="s">
        <v>13</v>
      </c>
      <c r="E5" s="299"/>
      <c r="F5" s="299"/>
    </row>
    <row r="6" spans="2:18">
      <c r="B6" s="1" t="s">
        <v>1</v>
      </c>
      <c r="D6" s="140">
        <v>1962</v>
      </c>
      <c r="E6" s="140"/>
      <c r="F6" s="140"/>
    </row>
    <row r="7" spans="2:18" hidden="1" outlineLevel="1">
      <c r="B7" s="1" t="s">
        <v>2</v>
      </c>
      <c r="D7" s="32">
        <v>2</v>
      </c>
      <c r="E7" s="140"/>
      <c r="F7" s="140"/>
    </row>
    <row r="8" spans="2:18" hidden="1" outlineLevel="1">
      <c r="B8" s="1" t="s">
        <v>3</v>
      </c>
      <c r="D8" s="140">
        <v>16</v>
      </c>
      <c r="E8" s="140"/>
      <c r="F8" s="140"/>
    </row>
    <row r="9" spans="2:18" ht="31.5" hidden="1" outlineLevel="1">
      <c r="B9" s="2" t="s">
        <v>4</v>
      </c>
      <c r="C9" s="51"/>
      <c r="D9" s="140" t="s">
        <v>14</v>
      </c>
      <c r="E9" s="140"/>
      <c r="F9" s="140"/>
    </row>
    <row r="10" spans="2:18" collapsed="1">
      <c r="B10" s="1" t="s">
        <v>5</v>
      </c>
      <c r="D10" s="140" t="s">
        <v>15</v>
      </c>
      <c r="E10" s="140"/>
      <c r="F10" s="140"/>
    </row>
    <row r="11" spans="2:18" ht="35.25" hidden="1" customHeight="1" outlineLevel="1">
      <c r="B11" s="2" t="s">
        <v>7</v>
      </c>
      <c r="C11" s="51"/>
      <c r="D11" s="141" t="s">
        <v>17</v>
      </c>
      <c r="E11" s="141"/>
      <c r="F11" s="140"/>
    </row>
    <row r="12" spans="2:18" collapsed="1"/>
    <row r="13" spans="2:18" ht="31.5" customHeight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27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29265.21</v>
      </c>
      <c r="O15" s="341">
        <v>33604.699999999997</v>
      </c>
      <c r="P15" s="341">
        <f>31086.52*0.95</f>
        <v>29532.194</v>
      </c>
      <c r="Q15" s="341">
        <f>34761.53*0.95</f>
        <v>33023.453499999996</v>
      </c>
      <c r="R15" s="339">
        <f>(N15+O15)/(P15+Q15)*100</f>
        <v>100.50237270743621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7787.9042876762487</v>
      </c>
      <c r="H16" s="81">
        <f>($P$15/$P$16*E16)+($Q$15/$Q$16*F16)</f>
        <v>7754.0921236749473</v>
      </c>
      <c r="I16" s="82">
        <f>H16-G16</f>
        <v>-33.812164001301426</v>
      </c>
      <c r="J16" s="171"/>
      <c r="K16" s="171"/>
      <c r="L16" s="12"/>
      <c r="M16" s="13"/>
      <c r="N16" s="342">
        <v>7.74</v>
      </c>
      <c r="O16" s="341">
        <v>8.89</v>
      </c>
      <c r="P16" s="342">
        <v>7.74</v>
      </c>
      <c r="Q16" s="341">
        <v>8.89</v>
      </c>
    </row>
    <row r="17" spans="2:17" ht="51">
      <c r="B17" s="102" t="s">
        <v>301</v>
      </c>
      <c r="C17" s="76" t="s">
        <v>299</v>
      </c>
      <c r="D17" s="77" t="s">
        <v>300</v>
      </c>
      <c r="E17" s="147">
        <v>0</v>
      </c>
      <c r="F17" s="145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147">
        <v>0.28000000000000003</v>
      </c>
      <c r="F18" s="145">
        <v>0.27</v>
      </c>
      <c r="G18" s="80">
        <f t="shared" si="0"/>
        <v>2079.3049530436601</v>
      </c>
      <c r="H18" s="81">
        <f t="shared" si="1"/>
        <v>2071.3101331679472</v>
      </c>
      <c r="I18" s="82">
        <f t="shared" si="2"/>
        <v>-7.9948198757128921</v>
      </c>
      <c r="J18" s="171"/>
      <c r="K18" s="171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147">
        <v>0.04</v>
      </c>
      <c r="F19" s="145">
        <v>0.04</v>
      </c>
      <c r="G19" s="80">
        <f t="shared" si="0"/>
        <v>302.44364506762236</v>
      </c>
      <c r="H19" s="81">
        <f t="shared" si="1"/>
        <v>301.2081250018166</v>
      </c>
      <c r="I19" s="82">
        <f t="shared" si="2"/>
        <v>-1.2355200658057583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147">
        <v>1.1399999999999999</v>
      </c>
      <c r="F20" s="145">
        <v>1.33</v>
      </c>
      <c r="G20" s="80">
        <f t="shared" si="0"/>
        <v>9337.8545705914657</v>
      </c>
      <c r="H20" s="81">
        <f t="shared" si="1"/>
        <v>9290.2196576023925</v>
      </c>
      <c r="I20" s="82">
        <f t="shared" si="2"/>
        <v>-47.6349129890732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147">
        <v>3.67</v>
      </c>
      <c r="F21" s="145">
        <v>3.33</v>
      </c>
      <c r="G21" s="80">
        <f t="shared" si="0"/>
        <v>26463.985312344674</v>
      </c>
      <c r="H21" s="81">
        <f t="shared" si="1"/>
        <v>26372.856246194511</v>
      </c>
      <c r="I21" s="82">
        <f t="shared" si="2"/>
        <v>-91.129066150162544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147">
        <v>1.94</v>
      </c>
      <c r="F22" s="145">
        <v>2.1</v>
      </c>
      <c r="G22" s="80">
        <v>14151.24</v>
      </c>
      <c r="H22" s="53">
        <v>14366.97</v>
      </c>
      <c r="I22" s="82">
        <f t="shared" si="2"/>
        <v>215.72999999999956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147">
        <v>0.22</v>
      </c>
      <c r="F23" s="145">
        <v>0.21</v>
      </c>
      <c r="G23" s="80">
        <f t="shared" si="0"/>
        <v>1625.6394854422265</v>
      </c>
      <c r="H23" s="81">
        <f t="shared" ref="H23" si="3">($P$15/$P$16*E23)+($Q$15/$Q$16*F23)</f>
        <v>1619.497945665222</v>
      </c>
      <c r="I23" s="82">
        <f t="shared" si="2"/>
        <v>-6.1415397770044819</v>
      </c>
      <c r="J23" s="171"/>
      <c r="K23" s="171"/>
      <c r="N23" s="341"/>
      <c r="O23" s="341"/>
      <c r="P23" s="341"/>
      <c r="Q23" s="341"/>
    </row>
    <row r="24" spans="2:17" ht="48">
      <c r="B24" s="84" t="s">
        <v>306</v>
      </c>
      <c r="C24" s="76" t="s">
        <v>299</v>
      </c>
      <c r="D24" s="77" t="s">
        <v>300</v>
      </c>
      <c r="E24" s="147">
        <v>4.8499999999999996</v>
      </c>
      <c r="F24" s="145">
        <v>4.8499999999999996</v>
      </c>
      <c r="G24" s="80">
        <v>36676.03</v>
      </c>
      <c r="H24" s="130">
        <v>16535</v>
      </c>
      <c r="I24" s="82">
        <f t="shared" si="2"/>
        <v>-20141.03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147">
        <v>0.71</v>
      </c>
      <c r="F25" s="145">
        <v>1.44</v>
      </c>
      <c r="G25" s="80">
        <f t="shared" si="0"/>
        <v>8127.8157573181243</v>
      </c>
      <c r="H25" s="81">
        <f t="shared" ref="H25:H27" si="4">($P$15/$P$16*E25)+($Q$15/$Q$16*F25)</f>
        <v>8058.1563734504107</v>
      </c>
      <c r="I25" s="82">
        <f t="shared" si="2"/>
        <v>-69.659383867713586</v>
      </c>
      <c r="J25" s="171"/>
      <c r="K25" s="171"/>
      <c r="L25" s="144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147">
        <v>0.25</v>
      </c>
      <c r="F26" s="145">
        <v>0.73</v>
      </c>
      <c r="G26" s="80">
        <f t="shared" si="0"/>
        <v>3704.6997782980611</v>
      </c>
      <c r="H26" s="81">
        <f t="shared" si="4"/>
        <v>3665.5943898102851</v>
      </c>
      <c r="I26" s="82">
        <f t="shared" si="2"/>
        <v>-39.105388487776054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147">
        <v>0.42</v>
      </c>
      <c r="F27" s="145">
        <v>0.49</v>
      </c>
      <c r="G27" s="80">
        <f t="shared" si="0"/>
        <v>3440.2622102179084</v>
      </c>
      <c r="H27" s="81">
        <f t="shared" si="4"/>
        <v>3422.7125054324601</v>
      </c>
      <c r="I27" s="82">
        <f t="shared" si="2"/>
        <v>-17.549704785448284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14.53</v>
      </c>
      <c r="F28" s="88">
        <f>SUM(F16:F27)</f>
        <v>15.840000000000002</v>
      </c>
      <c r="G28" s="173">
        <f>SUM(G16:G27)</f>
        <v>113697.18</v>
      </c>
      <c r="H28" s="174">
        <f>SUM(H16:H27)</f>
        <v>93457.617499999993</v>
      </c>
      <c r="I28" s="175">
        <f>H28-G28</f>
        <v>-20239.5625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151"/>
      <c r="K30" s="151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54"/>
      <c r="K31" s="154"/>
      <c r="L31" s="44"/>
      <c r="M31" s="142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113697.18</v>
      </c>
      <c r="E32" s="296"/>
      <c r="F32" s="295">
        <f>29265.21+33604.7+14151.24</f>
        <v>77021.149999999994</v>
      </c>
      <c r="G32" s="296"/>
      <c r="H32" s="295">
        <f>G24</f>
        <v>36676.03</v>
      </c>
      <c r="I32" s="297"/>
      <c r="J32" s="155"/>
      <c r="K32" s="155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95361.03</v>
      </c>
      <c r="E33" s="296"/>
      <c r="F33" s="295">
        <f>24669.61+28327.66+11447.07</f>
        <v>64444.340000000004</v>
      </c>
      <c r="G33" s="296"/>
      <c r="H33" s="295">
        <v>30916.69</v>
      </c>
      <c r="I33" s="297"/>
      <c r="J33" s="155"/>
      <c r="K33" s="155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93457.617499999993</v>
      </c>
      <c r="E34" s="315"/>
      <c r="F34" s="314">
        <f>H16+H17+H18+H19+H20+H21+H22+H23+H25+H26+H27</f>
        <v>76922.617499999993</v>
      </c>
      <c r="G34" s="315"/>
      <c r="H34" s="314">
        <f>H24</f>
        <v>16535</v>
      </c>
      <c r="I34" s="316"/>
      <c r="J34" s="155"/>
      <c r="K34" s="155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1903.4125000000095</v>
      </c>
      <c r="E35" s="318"/>
      <c r="F35" s="319">
        <f>F33-F34</f>
        <v>-12478.277499999989</v>
      </c>
      <c r="G35" s="320"/>
      <c r="H35" s="319">
        <f>H33-H34</f>
        <v>14381.689999999999</v>
      </c>
      <c r="I35" s="321"/>
      <c r="J35" s="155"/>
      <c r="K35" s="155"/>
      <c r="L35" s="5"/>
      <c r="M35" s="5"/>
      <c r="N35" s="341"/>
      <c r="O35" s="341"/>
      <c r="P35" s="341"/>
      <c r="Q35" s="341"/>
    </row>
    <row r="36" spans="2:17" ht="34.5" customHeight="1">
      <c r="B36" s="143" t="s">
        <v>267</v>
      </c>
      <c r="C36" s="143"/>
      <c r="D36" s="131"/>
      <c r="E36" s="322" t="s">
        <v>10</v>
      </c>
      <c r="F36" s="322"/>
      <c r="G36" s="287" t="s">
        <v>11</v>
      </c>
      <c r="H36" s="287"/>
      <c r="I36" s="152"/>
      <c r="J36" s="152"/>
      <c r="K36" s="152"/>
      <c r="L36" s="6"/>
      <c r="M36" s="6"/>
      <c r="N36" s="344"/>
      <c r="O36" s="344"/>
      <c r="P36" s="344"/>
      <c r="Q36" s="344"/>
    </row>
    <row r="37" spans="2:17" ht="11.25" customHeight="1">
      <c r="B37" s="143"/>
      <c r="C37" s="143"/>
      <c r="D37" s="143"/>
      <c r="E37" s="285" t="s">
        <v>12</v>
      </c>
      <c r="F37" s="285"/>
      <c r="G37" s="288"/>
      <c r="H37" s="288"/>
      <c r="I37" s="153"/>
      <c r="J37" s="153"/>
      <c r="K37" s="153"/>
      <c r="L37" s="6"/>
      <c r="M37" s="6"/>
      <c r="N37" s="344"/>
      <c r="O37" s="344"/>
      <c r="P37" s="344"/>
      <c r="Q37" s="344"/>
    </row>
    <row r="38" spans="2:17">
      <c r="B38" s="143" t="s">
        <v>268</v>
      </c>
      <c r="C38" s="143"/>
      <c r="D38" s="143"/>
      <c r="E38" s="286" t="s">
        <v>10</v>
      </c>
      <c r="F38" s="286"/>
      <c r="G38" s="287" t="s">
        <v>312</v>
      </c>
      <c r="H38" s="287"/>
      <c r="I38" s="152"/>
      <c r="J38" s="152"/>
      <c r="K38" s="152"/>
      <c r="L38" s="6"/>
      <c r="M38" s="6"/>
      <c r="N38" s="344"/>
      <c r="O38" s="344"/>
      <c r="P38" s="344"/>
      <c r="Q38" s="344"/>
    </row>
    <row r="39" spans="2:17" ht="9.75" customHeight="1">
      <c r="B39" s="143"/>
      <c r="C39" s="143"/>
      <c r="D39" s="143"/>
      <c r="E39" s="285" t="s">
        <v>12</v>
      </c>
      <c r="F39" s="285"/>
      <c r="G39" s="287"/>
      <c r="H39" s="287"/>
      <c r="I39" s="152"/>
      <c r="J39" s="152"/>
      <c r="K39" s="152"/>
      <c r="N39" s="341"/>
      <c r="O39" s="341"/>
      <c r="P39" s="341"/>
      <c r="Q39" s="341"/>
    </row>
    <row r="40" spans="2:17">
      <c r="B40" s="143" t="s">
        <v>269</v>
      </c>
      <c r="C40" s="143"/>
      <c r="D40" s="143"/>
      <c r="E40" s="286" t="s">
        <v>10</v>
      </c>
      <c r="F40" s="286"/>
      <c r="G40" s="287" t="s">
        <v>313</v>
      </c>
      <c r="H40" s="287"/>
      <c r="I40" s="152"/>
      <c r="J40" s="152"/>
      <c r="K40" s="152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146"/>
      <c r="J41" s="157"/>
      <c r="K41" s="157"/>
      <c r="N41" s="341"/>
      <c r="O41" s="341"/>
      <c r="P41" s="341"/>
      <c r="Q41" s="341"/>
    </row>
    <row r="42" spans="2:17">
      <c r="B42" s="143" t="s">
        <v>270</v>
      </c>
      <c r="C42" s="143"/>
      <c r="D42" s="143"/>
      <c r="E42" s="286" t="s">
        <v>10</v>
      </c>
      <c r="F42" s="286"/>
      <c r="G42" s="287" t="s">
        <v>244</v>
      </c>
      <c r="H42" s="287"/>
      <c r="I42" s="1"/>
      <c r="J42" s="1"/>
      <c r="K42" s="1"/>
    </row>
    <row r="43" spans="2:17" ht="9" customHeight="1">
      <c r="B43" s="39"/>
      <c r="C43" s="39"/>
      <c r="D43" s="39"/>
      <c r="E43" s="285" t="s">
        <v>12</v>
      </c>
      <c r="F43" s="285"/>
      <c r="G43" s="285"/>
      <c r="H43" s="285"/>
      <c r="I43" s="1"/>
      <c r="J43" s="1"/>
      <c r="K43" s="1"/>
    </row>
    <row r="44" spans="2:17">
      <c r="C44" s="46"/>
      <c r="E44" s="139"/>
      <c r="F44" s="139"/>
      <c r="I44" s="1"/>
      <c r="J44" s="1"/>
      <c r="K44" s="1"/>
    </row>
    <row r="45" spans="2:17">
      <c r="C45" s="46"/>
      <c r="I45" s="1"/>
      <c r="J45" s="1"/>
      <c r="K45" s="1"/>
    </row>
    <row r="46" spans="2:17">
      <c r="C46" s="46"/>
      <c r="I46" s="1"/>
      <c r="J46" s="1"/>
      <c r="K46" s="1"/>
    </row>
    <row r="47" spans="2:17">
      <c r="C47" s="46"/>
      <c r="I47" s="1"/>
      <c r="J47" s="1"/>
      <c r="K47" s="1"/>
    </row>
    <row r="48" spans="2:17">
      <c r="C48" s="46"/>
      <c r="I48" s="1"/>
      <c r="J48" s="1"/>
      <c r="K48" s="1"/>
    </row>
    <row r="49" spans="3:11">
      <c r="C49" s="46"/>
      <c r="I49" s="1"/>
      <c r="J49" s="1"/>
      <c r="K49" s="1"/>
    </row>
  </sheetData>
  <mergeCells count="42">
    <mergeCell ref="D35:E35"/>
    <mergeCell ref="F35:G35"/>
    <mergeCell ref="H35:I35"/>
    <mergeCell ref="E36:F36"/>
    <mergeCell ref="G36:H36"/>
    <mergeCell ref="D33:E33"/>
    <mergeCell ref="F33:G33"/>
    <mergeCell ref="H33:I33"/>
    <mergeCell ref="D34:E34"/>
    <mergeCell ref="F34:G34"/>
    <mergeCell ref="H34:I34"/>
    <mergeCell ref="D5:F5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4:F4"/>
    <mergeCell ref="B30:I30"/>
    <mergeCell ref="D31:E31"/>
    <mergeCell ref="F31:G31"/>
    <mergeCell ref="H31:I31"/>
    <mergeCell ref="D32:E32"/>
    <mergeCell ref="F32:G32"/>
    <mergeCell ref="H32:I32"/>
    <mergeCell ref="E37:F37"/>
    <mergeCell ref="G37:H37"/>
    <mergeCell ref="E38:F38"/>
    <mergeCell ref="G38:H38"/>
    <mergeCell ref="G39:H39"/>
    <mergeCell ref="E43:F43"/>
    <mergeCell ref="G43:H43"/>
    <mergeCell ref="E40:F40"/>
    <mergeCell ref="G40:H40"/>
    <mergeCell ref="E39:F39"/>
    <mergeCell ref="E41:F41"/>
    <mergeCell ref="E42:F42"/>
    <mergeCell ref="G42:H42"/>
  </mergeCells>
  <pageMargins left="0.48" right="0.19685039370078741" top="0.37" bottom="0.23622047244094491" header="0.4" footer="0.25"/>
  <pageSetup paperSize="9" scale="4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2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49.7109375" style="1" customWidth="1"/>
    <col min="3" max="3" width="11.7109375" style="46" customWidth="1"/>
    <col min="4" max="4" width="8.28515625" style="3" customWidth="1"/>
    <col min="5" max="5" width="10.42578125" style="3" customWidth="1"/>
    <col min="6" max="6" width="10.140625" style="3" customWidth="1"/>
    <col min="7" max="7" width="10.28515625" style="3" customWidth="1"/>
    <col min="8" max="8" width="10.28515625" style="1" customWidth="1"/>
    <col min="9" max="9" width="10.7109375" style="1" customWidth="1"/>
    <col min="10" max="10" width="10" style="1" customWidth="1"/>
    <col min="11" max="11" width="11.5703125" style="1" customWidth="1"/>
    <col min="12" max="12" width="9.5703125" style="1" bestFit="1" customWidth="1"/>
    <col min="13" max="13" width="11.140625" style="1" customWidth="1"/>
    <col min="14" max="14" width="10.85546875" style="339" customWidth="1"/>
    <col min="15" max="15" width="12" style="339" customWidth="1"/>
    <col min="16" max="16" width="11.28515625" style="339" customWidth="1"/>
    <col min="17" max="17" width="13.7109375" style="339" customWidth="1"/>
    <col min="18" max="18" width="9.140625" style="339"/>
    <col min="19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9.5" customHeight="1">
      <c r="B2" s="313" t="s">
        <v>320</v>
      </c>
      <c r="C2" s="313"/>
      <c r="D2" s="313"/>
      <c r="E2" s="313"/>
      <c r="F2" s="313"/>
      <c r="G2" s="313"/>
      <c r="H2" s="313"/>
      <c r="I2" s="313"/>
    </row>
    <row r="3" spans="2:18" ht="24.75" customHeight="1">
      <c r="B3" s="313"/>
      <c r="C3" s="313"/>
      <c r="D3" s="313"/>
      <c r="E3" s="313"/>
      <c r="F3" s="313"/>
      <c r="G3" s="313"/>
      <c r="H3" s="313"/>
      <c r="I3" s="313"/>
    </row>
    <row r="4" spans="2:18" ht="12" customHeight="1"/>
    <row r="5" spans="2:18">
      <c r="B5" s="1" t="s">
        <v>0</v>
      </c>
      <c r="D5" s="299" t="s">
        <v>20</v>
      </c>
      <c r="E5" s="299"/>
      <c r="F5" s="299"/>
    </row>
    <row r="6" spans="2:18">
      <c r="B6" s="1" t="s">
        <v>1</v>
      </c>
      <c r="D6" s="14">
        <v>1962</v>
      </c>
      <c r="E6" s="14"/>
      <c r="F6" s="14"/>
    </row>
    <row r="7" spans="2:18" hidden="1" outlineLevel="1">
      <c r="B7" s="1" t="s">
        <v>2</v>
      </c>
      <c r="D7" s="14">
        <v>2</v>
      </c>
      <c r="E7" s="14"/>
      <c r="F7" s="14"/>
    </row>
    <row r="8" spans="2:18" hidden="1" outlineLevel="1">
      <c r="B8" s="1" t="s">
        <v>3</v>
      </c>
      <c r="D8" s="14">
        <v>16</v>
      </c>
      <c r="E8" s="14"/>
      <c r="F8" s="14"/>
    </row>
    <row r="9" spans="2:18" ht="30.75" hidden="1" customHeight="1" outlineLevel="1">
      <c r="B9" s="2" t="s">
        <v>4</v>
      </c>
      <c r="C9" s="47"/>
      <c r="D9" s="14" t="s">
        <v>22</v>
      </c>
      <c r="E9" s="14"/>
      <c r="F9" s="14"/>
    </row>
    <row r="10" spans="2:18" collapsed="1">
      <c r="B10" s="1" t="s">
        <v>5</v>
      </c>
      <c r="D10" s="14" t="s">
        <v>23</v>
      </c>
      <c r="E10" s="14"/>
      <c r="F10" s="14"/>
      <c r="J10" s="10"/>
    </row>
    <row r="11" spans="2:18" hidden="1" outlineLevel="1">
      <c r="B11" s="1" t="s">
        <v>6</v>
      </c>
      <c r="D11" s="14" t="s">
        <v>16</v>
      </c>
      <c r="E11" s="14"/>
      <c r="F11" s="14"/>
    </row>
    <row r="12" spans="2:18" ht="30.75" hidden="1" customHeight="1" outlineLevel="1">
      <c r="B12" s="2" t="s">
        <v>7</v>
      </c>
      <c r="C12" s="47"/>
      <c r="D12" s="323" t="s">
        <v>21</v>
      </c>
      <c r="E12" s="323"/>
      <c r="F12" s="14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30253.119999999999</v>
      </c>
      <c r="O15" s="341">
        <v>34736.83</v>
      </c>
      <c r="P15" s="341">
        <f>32197.84*0.95</f>
        <v>30587.948</v>
      </c>
      <c r="Q15" s="341">
        <f>36004.23*0.95</f>
        <v>34204.018499999998</v>
      </c>
      <c r="R15" s="339">
        <f>(N15+O15)/(P15+Q15)*100</f>
        <v>100.30556797500505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8040.8300080463941</v>
      </c>
      <c r="H16" s="81">
        <f>($P$15/$P$16*E16)+($Q$15/$Q$16*F16)</f>
        <v>8021.605873370786</v>
      </c>
      <c r="I16" s="82">
        <f>H16-G16</f>
        <v>-19.224134675608184</v>
      </c>
      <c r="J16" s="171"/>
      <c r="K16" s="171"/>
      <c r="L16" s="12"/>
      <c r="M16" s="13"/>
      <c r="N16" s="342">
        <v>7.75</v>
      </c>
      <c r="O16" s="341">
        <v>8.9</v>
      </c>
      <c r="P16" s="342">
        <v>7.75</v>
      </c>
      <c r="Q16" s="341">
        <v>8.9</v>
      </c>
    </row>
    <row r="17" spans="2:17" ht="51">
      <c r="B17" s="102" t="s">
        <v>301</v>
      </c>
      <c r="C17" s="76" t="s">
        <v>299</v>
      </c>
      <c r="D17" s="77" t="s">
        <v>300</v>
      </c>
      <c r="E17" s="166">
        <v>0</v>
      </c>
      <c r="F17" s="165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166">
        <v>0.28000000000000003</v>
      </c>
      <c r="F18" s="165">
        <v>0.27</v>
      </c>
      <c r="G18" s="80">
        <f t="shared" si="0"/>
        <v>2146.8298922073218</v>
      </c>
      <c r="H18" s="81">
        <f t="shared" si="1"/>
        <v>2142.7629594382024</v>
      </c>
      <c r="I18" s="82">
        <f t="shared" si="2"/>
        <v>-4.0669327691193757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166">
        <v>0.05</v>
      </c>
      <c r="F19" s="165">
        <v>0.04</v>
      </c>
      <c r="G19" s="80">
        <f t="shared" si="0"/>
        <v>351.30200362450159</v>
      </c>
      <c r="H19" s="81">
        <f t="shared" si="1"/>
        <v>351.06752584269663</v>
      </c>
      <c r="I19" s="82">
        <f t="shared" si="2"/>
        <v>-0.23447778180496925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166">
        <v>1.1399999999999999</v>
      </c>
      <c r="F20" s="165">
        <v>1.33</v>
      </c>
      <c r="G20" s="80">
        <f t="shared" si="0"/>
        <v>9641.1457882566137</v>
      </c>
      <c r="H20" s="81">
        <f t="shared" si="1"/>
        <v>9610.7755142696624</v>
      </c>
      <c r="I20" s="82">
        <f t="shared" si="2"/>
        <v>-30.370273986951361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166">
        <v>3.67</v>
      </c>
      <c r="F21" s="165">
        <v>3.33</v>
      </c>
      <c r="G21" s="80">
        <f t="shared" si="0"/>
        <v>27323.354821094599</v>
      </c>
      <c r="H21" s="81">
        <f t="shared" si="1"/>
        <v>27282.556766404494</v>
      </c>
      <c r="I21" s="82">
        <f t="shared" si="2"/>
        <v>-40.798054690105346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166">
        <v>1.94</v>
      </c>
      <c r="F22" s="165">
        <v>2.1</v>
      </c>
      <c r="G22" s="80">
        <v>14657.16</v>
      </c>
      <c r="H22" s="53">
        <v>14880.58</v>
      </c>
      <c r="I22" s="82">
        <f t="shared" si="2"/>
        <v>223.42000000000007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166">
        <v>0.22</v>
      </c>
      <c r="F23" s="165">
        <v>0.21</v>
      </c>
      <c r="G23" s="80">
        <f t="shared" si="0"/>
        <v>1678.4313125770207</v>
      </c>
      <c r="H23" s="81">
        <f t="shared" ref="H23" si="3">($P$15/$P$16*E23)+($Q$15/$Q$16*F23)</f>
        <v>1675.3641506741574</v>
      </c>
      <c r="I23" s="82">
        <f t="shared" si="2"/>
        <v>-3.0671619028632904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166">
        <v>4.8499999999999996</v>
      </c>
      <c r="F24" s="165">
        <v>4.8499999999999996</v>
      </c>
      <c r="G24" s="80">
        <v>37865.19</v>
      </c>
      <c r="H24" s="130">
        <v>15952</v>
      </c>
      <c r="I24" s="82">
        <f t="shared" si="2"/>
        <v>-21913.190000000002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166">
        <v>0.71</v>
      </c>
      <c r="F25" s="165">
        <v>1.44</v>
      </c>
      <c r="G25" s="80">
        <f t="shared" si="0"/>
        <v>8391.9171885465748</v>
      </c>
      <c r="H25" s="81">
        <f t="shared" ref="H25:H27" si="4">($P$15/$P$16*E25)+($Q$15/$Q$16*F25)</f>
        <v>8336.3840503370775</v>
      </c>
      <c r="I25" s="82">
        <f t="shared" si="2"/>
        <v>-55.533138209497338</v>
      </c>
      <c r="J25" s="171"/>
      <c r="K25" s="171"/>
      <c r="L25" s="163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166">
        <v>0.25</v>
      </c>
      <c r="F26" s="165">
        <v>0.73</v>
      </c>
      <c r="G26" s="80">
        <f t="shared" si="0"/>
        <v>3825.107759695542</v>
      </c>
      <c r="H26" s="81">
        <f t="shared" si="4"/>
        <v>3792.2061466292134</v>
      </c>
      <c r="I26" s="82">
        <f t="shared" si="2"/>
        <v>-32.901613066328537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166">
        <v>0.42</v>
      </c>
      <c r="F27" s="165">
        <v>0.5</v>
      </c>
      <c r="G27" s="80">
        <f t="shared" si="0"/>
        <v>3591.0312259514317</v>
      </c>
      <c r="H27" s="81">
        <f t="shared" si="4"/>
        <v>3579.2435130337076</v>
      </c>
      <c r="I27" s="82">
        <f t="shared" si="2"/>
        <v>-11.787712917724093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14.540000000000001</v>
      </c>
      <c r="F28" s="88">
        <f>SUM(F16:F27)</f>
        <v>15.850000000000001</v>
      </c>
      <c r="G28" s="173">
        <f>SUM(G16:G27)</f>
        <v>117512.3</v>
      </c>
      <c r="H28" s="174">
        <f>SUM(H16:H27)</f>
        <v>95624.546499999982</v>
      </c>
      <c r="I28" s="175">
        <f>H28-G28</f>
        <v>-21887.753500000021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161"/>
      <c r="K30" s="161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63"/>
      <c r="K31" s="163"/>
      <c r="L31" s="44"/>
      <c r="M31" s="168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117512.29000000001</v>
      </c>
      <c r="E32" s="296"/>
      <c r="F32" s="295">
        <f>30253.12+34736.82+14657.16</f>
        <v>79647.100000000006</v>
      </c>
      <c r="G32" s="296"/>
      <c r="H32" s="295">
        <f>G24</f>
        <v>37865.19</v>
      </c>
      <c r="I32" s="297"/>
      <c r="J32" s="164"/>
      <c r="K32" s="164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95622.209999999992</v>
      </c>
      <c r="E33" s="296"/>
      <c r="F33" s="295">
        <f>24562.84+28203.22+12112.98</f>
        <v>64879.039999999994</v>
      </c>
      <c r="G33" s="296"/>
      <c r="H33" s="295">
        <v>30743.17</v>
      </c>
      <c r="I33" s="297"/>
      <c r="J33" s="164"/>
      <c r="K33" s="164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95624.546499999997</v>
      </c>
      <c r="E34" s="315"/>
      <c r="F34" s="314">
        <f>H16+H17+H18+H19+H20+H21+H22+H23+H25+H26+H27</f>
        <v>79672.546499999997</v>
      </c>
      <c r="G34" s="315"/>
      <c r="H34" s="314">
        <f>H24</f>
        <v>15952</v>
      </c>
      <c r="I34" s="316"/>
      <c r="J34" s="164"/>
      <c r="K34" s="164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-2.3365000000048894</v>
      </c>
      <c r="E35" s="318"/>
      <c r="F35" s="319">
        <f>F33-F34</f>
        <v>-14793.506500000003</v>
      </c>
      <c r="G35" s="320"/>
      <c r="H35" s="319">
        <f>H33-H34</f>
        <v>14791.169999999998</v>
      </c>
      <c r="I35" s="321"/>
      <c r="J35" s="164"/>
      <c r="K35" s="164"/>
      <c r="L35" s="5"/>
      <c r="M35" s="5"/>
      <c r="N35" s="341"/>
      <c r="O35" s="341"/>
      <c r="P35" s="341"/>
      <c r="Q35" s="341"/>
    </row>
    <row r="36" spans="2:17" ht="34.5" customHeight="1">
      <c r="B36" s="159" t="s">
        <v>267</v>
      </c>
      <c r="C36" s="159"/>
      <c r="D36" s="131"/>
      <c r="E36" s="322" t="s">
        <v>10</v>
      </c>
      <c r="F36" s="322"/>
      <c r="G36" s="287" t="s">
        <v>11</v>
      </c>
      <c r="H36" s="287"/>
      <c r="I36" s="159"/>
      <c r="J36" s="159"/>
      <c r="K36" s="159"/>
      <c r="L36" s="6"/>
      <c r="M36" s="6"/>
      <c r="N36" s="344"/>
      <c r="O36" s="344"/>
      <c r="P36" s="344"/>
      <c r="Q36" s="344"/>
    </row>
    <row r="37" spans="2:17" ht="11.25" customHeight="1">
      <c r="B37" s="159"/>
      <c r="C37" s="159"/>
      <c r="D37" s="159"/>
      <c r="E37" s="285" t="s">
        <v>12</v>
      </c>
      <c r="F37" s="285"/>
      <c r="G37" s="288"/>
      <c r="H37" s="288"/>
      <c r="I37" s="160"/>
      <c r="J37" s="160"/>
      <c r="K37" s="160"/>
      <c r="L37" s="6"/>
      <c r="M37" s="6"/>
      <c r="N37" s="344"/>
      <c r="O37" s="344"/>
      <c r="P37" s="344"/>
      <c r="Q37" s="344"/>
    </row>
    <row r="38" spans="2:17">
      <c r="B38" s="159" t="s">
        <v>268</v>
      </c>
      <c r="C38" s="159"/>
      <c r="D38" s="159"/>
      <c r="E38" s="286" t="s">
        <v>10</v>
      </c>
      <c r="F38" s="286"/>
      <c r="G38" s="287" t="s">
        <v>312</v>
      </c>
      <c r="H38" s="287"/>
      <c r="I38" s="159"/>
      <c r="J38" s="159"/>
      <c r="K38" s="159"/>
      <c r="L38" s="6"/>
      <c r="M38" s="6"/>
      <c r="N38" s="344"/>
      <c r="O38" s="344"/>
      <c r="P38" s="344"/>
      <c r="Q38" s="344"/>
    </row>
    <row r="39" spans="2:17" ht="9.75" customHeight="1">
      <c r="B39" s="159"/>
      <c r="C39" s="159"/>
      <c r="D39" s="159"/>
      <c r="E39" s="285" t="s">
        <v>12</v>
      </c>
      <c r="F39" s="285"/>
      <c r="G39" s="287"/>
      <c r="H39" s="287"/>
      <c r="I39" s="159"/>
      <c r="J39" s="159"/>
      <c r="K39" s="159"/>
      <c r="N39" s="341"/>
      <c r="O39" s="341"/>
      <c r="P39" s="341"/>
      <c r="Q39" s="341"/>
    </row>
    <row r="40" spans="2:17">
      <c r="B40" s="159" t="s">
        <v>269</v>
      </c>
      <c r="C40" s="159"/>
      <c r="D40" s="159"/>
      <c r="E40" s="286" t="s">
        <v>10</v>
      </c>
      <c r="F40" s="286"/>
      <c r="G40" s="287" t="s">
        <v>313</v>
      </c>
      <c r="H40" s="287"/>
      <c r="I40" s="159"/>
      <c r="J40" s="159"/>
      <c r="K40" s="159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167"/>
      <c r="J41" s="167"/>
      <c r="K41" s="167"/>
      <c r="N41" s="341"/>
      <c r="O41" s="341"/>
      <c r="P41" s="341"/>
      <c r="Q41" s="341"/>
    </row>
    <row r="42" spans="2:17">
      <c r="B42" s="159" t="s">
        <v>270</v>
      </c>
      <c r="C42" s="159"/>
      <c r="D42" s="159"/>
      <c r="E42" s="286" t="s">
        <v>10</v>
      </c>
      <c r="F42" s="286"/>
      <c r="G42" s="287" t="s">
        <v>244</v>
      </c>
      <c r="H42" s="287"/>
    </row>
  </sheetData>
  <mergeCells count="40">
    <mergeCell ref="B30:I30"/>
    <mergeCell ref="E40:F40"/>
    <mergeCell ref="B13:I13"/>
    <mergeCell ref="B14:B15"/>
    <mergeCell ref="C14:C15"/>
    <mergeCell ref="D14:D15"/>
    <mergeCell ref="E14:E15"/>
    <mergeCell ref="F14:F15"/>
    <mergeCell ref="G14:H14"/>
    <mergeCell ref="I14:I15"/>
    <mergeCell ref="B2:I3"/>
    <mergeCell ref="D5:F5"/>
    <mergeCell ref="D12:E12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  <mergeCell ref="G40:H40"/>
    <mergeCell ref="E41:F41"/>
    <mergeCell ref="E42:F42"/>
    <mergeCell ref="G42:H42"/>
    <mergeCell ref="E37:F37"/>
    <mergeCell ref="G37:H37"/>
    <mergeCell ref="E38:F38"/>
    <mergeCell ref="G38:H38"/>
    <mergeCell ref="E39:F39"/>
    <mergeCell ref="G39:H39"/>
  </mergeCells>
  <pageMargins left="0.19685039370078741" right="0.19685039370078741" top="0.16" bottom="0.31496062992125984" header="0.55118110236220474" footer="0.31496062992125984"/>
  <pageSetup paperSize="9" scale="4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6"/>
  <sheetViews>
    <sheetView topLeftCell="E1" zoomScale="110" zoomScaleNormal="110" workbookViewId="0">
      <selection activeCell="B14" sqref="B14:B15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1.7109375" style="46" customWidth="1"/>
    <col min="4" max="4" width="8.85546875" style="3" customWidth="1"/>
    <col min="5" max="5" width="10" style="3" customWidth="1"/>
    <col min="6" max="6" width="9.5703125" style="3" customWidth="1"/>
    <col min="7" max="7" width="9.7109375" style="3" customWidth="1"/>
    <col min="8" max="8" width="10.28515625" style="1" customWidth="1"/>
    <col min="9" max="9" width="11.140625" style="20" customWidth="1"/>
    <col min="10" max="10" width="15.42578125" style="1" customWidth="1"/>
    <col min="11" max="11" width="14" style="1" customWidth="1"/>
    <col min="12" max="12" width="9.5703125" style="1" bestFit="1" customWidth="1"/>
    <col min="13" max="13" width="10.85546875" style="1" customWidth="1"/>
    <col min="14" max="14" width="11.28515625" style="339" customWidth="1"/>
    <col min="15" max="15" width="15.28515625" style="339" customWidth="1"/>
    <col min="16" max="18" width="9.140625" style="339"/>
    <col min="19" max="16384" width="9.140625" style="1"/>
  </cols>
  <sheetData>
    <row r="1" spans="2:18"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  <c r="K2" s="99"/>
    </row>
    <row r="3" spans="2:18" ht="24" customHeight="1">
      <c r="B3" s="313"/>
      <c r="C3" s="313"/>
      <c r="D3" s="313"/>
      <c r="E3" s="313"/>
      <c r="F3" s="313"/>
      <c r="G3" s="313"/>
      <c r="H3" s="313"/>
      <c r="I3" s="313"/>
      <c r="J3" s="99"/>
      <c r="K3" s="99"/>
    </row>
    <row r="4" spans="2:18" ht="11.25" customHeight="1"/>
    <row r="5" spans="2:18">
      <c r="B5" s="1" t="s">
        <v>0</v>
      </c>
      <c r="D5" s="299" t="s">
        <v>24</v>
      </c>
      <c r="E5" s="299"/>
      <c r="F5" s="299"/>
    </row>
    <row r="6" spans="2:18">
      <c r="B6" s="1" t="s">
        <v>1</v>
      </c>
      <c r="D6" s="14">
        <v>1961</v>
      </c>
      <c r="E6" s="14"/>
      <c r="F6" s="14"/>
    </row>
    <row r="7" spans="2:18" hidden="1" outlineLevel="1">
      <c r="B7" s="1" t="s">
        <v>2</v>
      </c>
      <c r="D7" s="14">
        <v>2</v>
      </c>
      <c r="E7" s="14"/>
      <c r="F7" s="14"/>
    </row>
    <row r="8" spans="2:18" hidden="1" outlineLevel="1">
      <c r="B8" s="1" t="s">
        <v>3</v>
      </c>
      <c r="D8" s="14">
        <v>8</v>
      </c>
      <c r="E8" s="14"/>
      <c r="F8" s="14"/>
    </row>
    <row r="9" spans="2:18" ht="31.5" hidden="1" outlineLevel="1">
      <c r="B9" s="2" t="s">
        <v>4</v>
      </c>
      <c r="C9" s="47"/>
      <c r="D9" s="14" t="s">
        <v>25</v>
      </c>
      <c r="E9" s="14"/>
      <c r="F9" s="14"/>
    </row>
    <row r="10" spans="2:18" collapsed="1">
      <c r="B10" s="1" t="s">
        <v>5</v>
      </c>
      <c r="D10" s="284" t="s">
        <v>327</v>
      </c>
      <c r="E10" s="14"/>
      <c r="F10" s="14"/>
      <c r="J10" s="10"/>
    </row>
    <row r="11" spans="2:18" hidden="1" outlineLevel="1">
      <c r="B11" s="1" t="s">
        <v>6</v>
      </c>
      <c r="D11" s="14" t="s">
        <v>16</v>
      </c>
      <c r="E11" s="14"/>
      <c r="F11" s="14"/>
    </row>
    <row r="12" spans="2:18" ht="31.5" hidden="1" outlineLevel="1">
      <c r="B12" s="2" t="s">
        <v>7</v>
      </c>
      <c r="C12" s="47"/>
      <c r="D12" s="323" t="s">
        <v>26</v>
      </c>
      <c r="E12" s="323"/>
      <c r="F12" s="14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27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16401.16</v>
      </c>
      <c r="O15" s="341">
        <v>18900.580000000002</v>
      </c>
      <c r="P15" s="341">
        <f>19029.46*0.87</f>
        <v>16555.6302</v>
      </c>
      <c r="Q15" s="341">
        <f>21279.09*0.87</f>
        <v>18512.808300000001</v>
      </c>
      <c r="R15" s="339">
        <f>(N15+O15)/(P15+Q15)*100</f>
        <v>100.66527484535703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0</v>
      </c>
      <c r="F16" s="79">
        <v>0</v>
      </c>
      <c r="G16" s="80">
        <f>($N$15/$N$16*E16)+($O$15/$O$16*F16)</f>
        <v>0</v>
      </c>
      <c r="H16" s="81">
        <f>($P$15/$P$16*E16)+($Q$15/$Q$16*F16)</f>
        <v>0</v>
      </c>
      <c r="I16" s="82">
        <f>H16-G16</f>
        <v>0</v>
      </c>
      <c r="J16" s="43"/>
      <c r="K16" s="12"/>
      <c r="L16" s="12"/>
      <c r="M16" s="13"/>
      <c r="N16" s="342">
        <v>7.23</v>
      </c>
      <c r="O16" s="341">
        <v>8.33</v>
      </c>
      <c r="P16" s="342">
        <v>7.23</v>
      </c>
      <c r="Q16" s="341">
        <v>8.33</v>
      </c>
    </row>
    <row r="17" spans="2:17" ht="51">
      <c r="B17" s="102" t="s">
        <v>301</v>
      </c>
      <c r="C17" s="76" t="s">
        <v>299</v>
      </c>
      <c r="D17" s="77" t="s">
        <v>300</v>
      </c>
      <c r="E17" s="71">
        <v>0</v>
      </c>
      <c r="F17" s="69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71">
        <v>0.28000000000000003</v>
      </c>
      <c r="F18" s="69">
        <v>0.27</v>
      </c>
      <c r="G18" s="80">
        <f t="shared" si="0"/>
        <v>1247.8001624218152</v>
      </c>
      <c r="H18" s="81">
        <f t="shared" si="1"/>
        <v>1241.2135802189755</v>
      </c>
      <c r="I18" s="82">
        <f t="shared" si="2"/>
        <v>-6.5865822028397361</v>
      </c>
      <c r="J18" s="5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71">
        <v>0.04</v>
      </c>
      <c r="F19" s="69">
        <v>0.04</v>
      </c>
      <c r="G19" s="80">
        <f t="shared" si="0"/>
        <v>181.49856204722551</v>
      </c>
      <c r="H19" s="81">
        <f t="shared" si="1"/>
        <v>180.49111998326299</v>
      </c>
      <c r="I19" s="82">
        <f t="shared" si="2"/>
        <v>-1.0074420639625146</v>
      </c>
      <c r="J19" s="5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71">
        <v>1.1399999999999999</v>
      </c>
      <c r="F20" s="69">
        <v>1.33</v>
      </c>
      <c r="G20" s="80">
        <f t="shared" si="0"/>
        <v>5603.8146846124337</v>
      </c>
      <c r="H20" s="81">
        <f t="shared" si="1"/>
        <v>5566.2578531364406</v>
      </c>
      <c r="I20" s="82">
        <f t="shared" si="2"/>
        <v>-37.556831475993022</v>
      </c>
      <c r="J20" s="5"/>
      <c r="N20" s="341"/>
      <c r="O20" s="341"/>
      <c r="P20" s="341"/>
      <c r="Q20" s="341"/>
    </row>
    <row r="21" spans="2:17" ht="140.25">
      <c r="B21" s="102" t="s">
        <v>282</v>
      </c>
      <c r="C21" s="76" t="s">
        <v>303</v>
      </c>
      <c r="D21" s="77" t="s">
        <v>300</v>
      </c>
      <c r="E21" s="71">
        <v>3.67</v>
      </c>
      <c r="F21" s="69">
        <v>3.33</v>
      </c>
      <c r="G21" s="80">
        <f t="shared" si="0"/>
        <v>15881.040822934981</v>
      </c>
      <c r="H21" s="81">
        <f t="shared" si="1"/>
        <v>15804.43542989295</v>
      </c>
      <c r="I21" s="82">
        <f t="shared" si="2"/>
        <v>-76.60539304203121</v>
      </c>
      <c r="J21" s="34"/>
      <c r="K21" s="6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71">
        <v>1.94</v>
      </c>
      <c r="F22" s="69">
        <v>2.1</v>
      </c>
      <c r="G22" s="80">
        <v>8662.68</v>
      </c>
      <c r="H22" s="53">
        <v>8794.67</v>
      </c>
      <c r="I22" s="82">
        <f t="shared" si="2"/>
        <v>131.98999999999978</v>
      </c>
      <c r="J22" s="5"/>
      <c r="N22" s="341"/>
      <c r="O22" s="341"/>
      <c r="P22" s="341"/>
      <c r="Q22" s="341"/>
    </row>
    <row r="23" spans="2:17" ht="102">
      <c r="B23" s="102" t="s">
        <v>305</v>
      </c>
      <c r="C23" s="76" t="s">
        <v>299</v>
      </c>
      <c r="D23" s="77" t="s">
        <v>300</v>
      </c>
      <c r="E23" s="71">
        <v>0.22</v>
      </c>
      <c r="F23" s="69">
        <v>0.21</v>
      </c>
      <c r="G23" s="80">
        <f t="shared" si="0"/>
        <v>975.55231935097686</v>
      </c>
      <c r="H23" s="81">
        <f t="shared" ref="H23" si="3">($P$15/$P$16*E23)+($Q$15/$Q$16*F23)</f>
        <v>970.47690024408098</v>
      </c>
      <c r="I23" s="82">
        <f t="shared" si="2"/>
        <v>-5.0754191068958789</v>
      </c>
      <c r="J23" s="5"/>
      <c r="N23" s="341"/>
      <c r="O23" s="341"/>
      <c r="P23" s="341"/>
      <c r="Q23" s="341"/>
    </row>
    <row r="24" spans="2:17" ht="55.5" customHeight="1">
      <c r="B24" s="84" t="s">
        <v>306</v>
      </c>
      <c r="C24" s="76" t="s">
        <v>299</v>
      </c>
      <c r="D24" s="77" t="s">
        <v>300</v>
      </c>
      <c r="E24" s="71">
        <v>4.8499999999999996</v>
      </c>
      <c r="F24" s="69">
        <v>4.8499999999999996</v>
      </c>
      <c r="G24" s="80">
        <v>22004.32</v>
      </c>
      <c r="H24" s="130">
        <v>15952</v>
      </c>
      <c r="I24" s="82">
        <f t="shared" si="2"/>
        <v>-6052.32</v>
      </c>
      <c r="J24" s="5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71">
        <v>0.71</v>
      </c>
      <c r="F25" s="69">
        <v>1.44</v>
      </c>
      <c r="G25" s="80">
        <f t="shared" si="0"/>
        <v>4877.9528256779886</v>
      </c>
      <c r="H25" s="81">
        <f t="shared" ref="H25:H27" si="4">($P$15/$P$16*E25)+($Q$15/$Q$16*F25)</f>
        <v>4826.0883351651028</v>
      </c>
      <c r="I25" s="82">
        <f t="shared" si="2"/>
        <v>-51.864490512885823</v>
      </c>
      <c r="J25" s="5"/>
      <c r="K25" s="68"/>
      <c r="L25" s="68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71">
        <v>0.25</v>
      </c>
      <c r="F26" s="69">
        <v>0.73</v>
      </c>
      <c r="G26" s="80">
        <f t="shared" si="0"/>
        <v>2223.4750644158075</v>
      </c>
      <c r="H26" s="81">
        <f t="shared" si="4"/>
        <v>2194.8339637609397</v>
      </c>
      <c r="I26" s="82">
        <f t="shared" si="2"/>
        <v>-28.641100654867842</v>
      </c>
      <c r="J26" s="5"/>
      <c r="K26" s="85"/>
      <c r="L26" s="85"/>
      <c r="M26" s="10"/>
      <c r="N26" s="345">
        <f>K26-L26</f>
        <v>0</v>
      </c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71">
        <v>0.92</v>
      </c>
      <c r="F27" s="69">
        <v>0.98</v>
      </c>
      <c r="G27" s="80">
        <f t="shared" si="0"/>
        <v>4310.6055585387676</v>
      </c>
      <c r="H27" s="81">
        <f t="shared" si="4"/>
        <v>4284.6413175982425</v>
      </c>
      <c r="I27" s="82">
        <f t="shared" si="2"/>
        <v>-25.964240940525087</v>
      </c>
      <c r="J27" s="5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14.020000000000001</v>
      </c>
      <c r="F28" s="88">
        <f>SUM(F16:F27)</f>
        <v>15.28</v>
      </c>
      <c r="G28" s="89">
        <f>SUM(G16:G27)</f>
        <v>65968.739999999991</v>
      </c>
      <c r="H28" s="52">
        <f>SUM(H16:H27)</f>
        <v>59815.108499999995</v>
      </c>
      <c r="I28" s="90">
        <f>H28-G28</f>
        <v>-6153.6314999999959</v>
      </c>
      <c r="J28" s="5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89"/>
      <c r="K30" s="289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92" t="s">
        <v>310</v>
      </c>
      <c r="K31" s="93" t="s">
        <v>311</v>
      </c>
      <c r="L31" s="44"/>
      <c r="M31" s="67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F32+H32+J32+K32</f>
        <v>116451.84000000001</v>
      </c>
      <c r="E32" s="296"/>
      <c r="F32" s="295">
        <f>16401.16+18900.58+8662.68</f>
        <v>43964.420000000006</v>
      </c>
      <c r="G32" s="296"/>
      <c r="H32" s="295">
        <f>G24</f>
        <v>22004.32</v>
      </c>
      <c r="I32" s="297"/>
      <c r="J32" s="71">
        <f>11847.47+13335.08</f>
        <v>25182.55</v>
      </c>
      <c r="K32" s="95">
        <v>25300.55</v>
      </c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F33+H33+J33+K33</f>
        <v>107984.65000000001</v>
      </c>
      <c r="E33" s="296"/>
      <c r="F33" s="295">
        <f>15326.3+17661.92+8064.11</f>
        <v>41052.33</v>
      </c>
      <c r="G33" s="296"/>
      <c r="H33" s="295">
        <v>20562.25</v>
      </c>
      <c r="I33" s="297"/>
      <c r="J33" s="71">
        <f>10366.29+11618.33</f>
        <v>21984.620000000003</v>
      </c>
      <c r="K33" s="95">
        <v>24385.45</v>
      </c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F34+H34+J34+K34</f>
        <v>110298.20849999999</v>
      </c>
      <c r="E34" s="315"/>
      <c r="F34" s="314">
        <f>H16+H17+H18+H19+H20+H21+H22+H23+H25+H26+H27</f>
        <v>43863.108499999995</v>
      </c>
      <c r="G34" s="315"/>
      <c r="H34" s="314">
        <f>H24</f>
        <v>15952</v>
      </c>
      <c r="I34" s="316"/>
      <c r="J34" s="64">
        <v>25182.55</v>
      </c>
      <c r="K34" s="97">
        <v>25300.55</v>
      </c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F35+H35+J35+K35</f>
        <v>-2313.5584999999883</v>
      </c>
      <c r="E35" s="318"/>
      <c r="F35" s="319">
        <f>F33-F34</f>
        <v>-2810.7784999999931</v>
      </c>
      <c r="G35" s="320"/>
      <c r="H35" s="319">
        <f>H33-H34</f>
        <v>4610.25</v>
      </c>
      <c r="I35" s="321"/>
      <c r="J35" s="128">
        <f>J33-J34</f>
        <v>-3197.9299999999967</v>
      </c>
      <c r="K35" s="129">
        <f>K33-K34</f>
        <v>-915.09999999999854</v>
      </c>
      <c r="L35" s="5"/>
      <c r="M35" s="5"/>
      <c r="N35" s="341"/>
      <c r="O35" s="341"/>
      <c r="P35" s="341"/>
      <c r="Q35" s="341"/>
    </row>
    <row r="36" spans="2:17" ht="34.5" customHeight="1">
      <c r="B36" s="73" t="s">
        <v>267</v>
      </c>
      <c r="C36" s="73"/>
      <c r="D36" s="131"/>
      <c r="E36" s="322" t="s">
        <v>10</v>
      </c>
      <c r="F36" s="322"/>
      <c r="G36" s="287" t="s">
        <v>11</v>
      </c>
      <c r="H36" s="287"/>
      <c r="I36" s="287"/>
      <c r="J36" s="287"/>
      <c r="K36" s="6"/>
      <c r="L36" s="6"/>
      <c r="M36" s="6"/>
      <c r="N36" s="344"/>
      <c r="O36" s="344"/>
      <c r="P36" s="344"/>
      <c r="Q36" s="344"/>
    </row>
    <row r="37" spans="2:17" ht="11.25" customHeight="1">
      <c r="B37" s="73"/>
      <c r="C37" s="73"/>
      <c r="D37" s="73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</row>
    <row r="38" spans="2:17">
      <c r="B38" s="73" t="s">
        <v>268</v>
      </c>
      <c r="C38" s="73"/>
      <c r="D38" s="73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</row>
    <row r="39" spans="2:17" ht="9.75" customHeight="1">
      <c r="B39" s="73"/>
      <c r="C39" s="73"/>
      <c r="D39" s="73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7">
      <c r="B40" s="73" t="s">
        <v>269</v>
      </c>
      <c r="C40" s="73"/>
      <c r="D40" s="73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70"/>
      <c r="J41" s="62"/>
      <c r="N41" s="341"/>
      <c r="O41" s="341"/>
      <c r="P41" s="341"/>
      <c r="Q41" s="341"/>
    </row>
    <row r="42" spans="2:17">
      <c r="B42" s="73" t="s">
        <v>270</v>
      </c>
      <c r="C42" s="73"/>
      <c r="D42" s="73"/>
      <c r="E42" s="286" t="s">
        <v>10</v>
      </c>
      <c r="F42" s="286"/>
      <c r="G42" s="287" t="s">
        <v>244</v>
      </c>
      <c r="H42" s="287"/>
      <c r="I42" s="1"/>
    </row>
    <row r="43" spans="2:17" ht="9" customHeight="1">
      <c r="B43" s="39"/>
      <c r="C43" s="39"/>
      <c r="D43" s="39"/>
      <c r="E43" s="285" t="s">
        <v>12</v>
      </c>
      <c r="F43" s="285"/>
      <c r="G43" s="285"/>
      <c r="H43" s="285"/>
      <c r="I43" s="1"/>
    </row>
    <row r="44" spans="2:17">
      <c r="E44" s="72"/>
      <c r="F44" s="72"/>
      <c r="G44" s="1"/>
      <c r="I44" s="1"/>
    </row>
    <row r="45" spans="2:17">
      <c r="G45" s="1"/>
      <c r="I45" s="1"/>
    </row>
    <row r="46" spans="2:17">
      <c r="G46" s="1"/>
      <c r="I46" s="1"/>
    </row>
    <row r="47" spans="2:17">
      <c r="G47" s="1"/>
      <c r="I47" s="1"/>
    </row>
    <row r="48" spans="2:17">
      <c r="G48" s="1"/>
      <c r="I48" s="1"/>
    </row>
    <row r="49" spans="7:9">
      <c r="G49" s="1"/>
      <c r="I49" s="1"/>
    </row>
    <row r="50" spans="7:9">
      <c r="G50" s="1"/>
      <c r="I50" s="1"/>
    </row>
    <row r="51" spans="7:9">
      <c r="G51" s="1"/>
      <c r="I51" s="1"/>
    </row>
    <row r="52" spans="7:9">
      <c r="G52" s="1"/>
      <c r="I52" s="1"/>
    </row>
    <row r="53" spans="7:9">
      <c r="G53" s="1"/>
      <c r="I53" s="1"/>
    </row>
    <row r="54" spans="7:9">
      <c r="G54" s="1"/>
      <c r="I54" s="1"/>
    </row>
    <row r="55" spans="7:9">
      <c r="G55" s="1"/>
      <c r="I55" s="1"/>
    </row>
    <row r="56" spans="7:9">
      <c r="G56" s="1"/>
      <c r="I56" s="1"/>
    </row>
  </sheetData>
  <mergeCells count="47">
    <mergeCell ref="B2:I3"/>
    <mergeCell ref="D5:F5"/>
    <mergeCell ref="D12:E12"/>
    <mergeCell ref="B13:I13"/>
    <mergeCell ref="B14:B15"/>
    <mergeCell ref="I14:I15"/>
    <mergeCell ref="C14:C15"/>
    <mergeCell ref="D14:D15"/>
    <mergeCell ref="E14:E15"/>
    <mergeCell ref="F14:F15"/>
    <mergeCell ref="G14:H14"/>
    <mergeCell ref="B30:K30"/>
    <mergeCell ref="F31:G31"/>
    <mergeCell ref="H31:I31"/>
    <mergeCell ref="F32:G32"/>
    <mergeCell ref="H32:I32"/>
    <mergeCell ref="D31:E31"/>
    <mergeCell ref="D32:E32"/>
    <mergeCell ref="H33:I33"/>
    <mergeCell ref="H34:I34"/>
    <mergeCell ref="H35:I35"/>
    <mergeCell ref="E36:F36"/>
    <mergeCell ref="G36:H36"/>
    <mergeCell ref="I36:J36"/>
    <mergeCell ref="F35:G35"/>
    <mergeCell ref="F33:G33"/>
    <mergeCell ref="F34:G34"/>
    <mergeCell ref="D33:E33"/>
    <mergeCell ref="D34:E34"/>
    <mergeCell ref="D35:E35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E41:F41"/>
    <mergeCell ref="E42:F42"/>
    <mergeCell ref="G42:H42"/>
    <mergeCell ref="E43:F43"/>
    <mergeCell ref="G43:H43"/>
  </mergeCells>
  <pageMargins left="0.19685039370078741" right="0.19685039370078741" top="0.16" bottom="0.23622047244094491" header="0.16" footer="0.25"/>
  <pageSetup paperSize="9" scale="4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F1" zoomScale="110" zoomScaleNormal="110" workbookViewId="0">
      <selection activeCell="N1" sqref="N1:R1048576"/>
    </sheetView>
  </sheetViews>
  <sheetFormatPr defaultColWidth="9.140625" defaultRowHeight="15.75" outlineLevelRow="1"/>
  <cols>
    <col min="1" max="1" width="2.85546875" style="1" customWidth="1"/>
    <col min="2" max="2" width="51" style="1" customWidth="1"/>
    <col min="3" max="3" width="11.5703125" style="48" customWidth="1"/>
    <col min="4" max="4" width="9.140625" style="3" customWidth="1"/>
    <col min="5" max="5" width="9.5703125" style="3" customWidth="1"/>
    <col min="6" max="6" width="9.42578125" style="3" customWidth="1"/>
    <col min="7" max="7" width="10.42578125" style="3" customWidth="1"/>
    <col min="8" max="8" width="10.42578125" style="1" customWidth="1"/>
    <col min="9" max="9" width="11.28515625" style="3" customWidth="1"/>
    <col min="10" max="10" width="10.7109375" style="1" bestFit="1" customWidth="1"/>
    <col min="11" max="11" width="12.140625" style="1" customWidth="1"/>
    <col min="12" max="12" width="13.85546875" style="1" customWidth="1"/>
    <col min="13" max="13" width="14.28515625" style="1" customWidth="1"/>
    <col min="14" max="14" width="13.42578125" style="339" customWidth="1"/>
    <col min="15" max="15" width="15.85546875" style="339" customWidth="1"/>
    <col min="16" max="16" width="14.85546875" style="339" customWidth="1"/>
    <col min="17" max="17" width="12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3.2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3.5" customHeight="1"/>
    <row r="5" spans="1:18">
      <c r="B5" s="1" t="s">
        <v>0</v>
      </c>
      <c r="D5" s="299" t="s">
        <v>27</v>
      </c>
      <c r="E5" s="299"/>
      <c r="F5" s="299"/>
    </row>
    <row r="6" spans="1:18">
      <c r="B6" s="1" t="s">
        <v>1</v>
      </c>
      <c r="D6" s="15">
        <v>1984</v>
      </c>
      <c r="E6" s="15"/>
      <c r="F6" s="15"/>
    </row>
    <row r="7" spans="1:18" hidden="1" outlineLevel="1">
      <c r="B7" s="1" t="s">
        <v>2</v>
      </c>
      <c r="D7" s="15">
        <v>3</v>
      </c>
      <c r="E7" s="15"/>
      <c r="F7" s="15"/>
    </row>
    <row r="8" spans="1:18" hidden="1" outlineLevel="1">
      <c r="B8" s="1" t="s">
        <v>3</v>
      </c>
      <c r="D8" s="15">
        <v>22</v>
      </c>
      <c r="E8" s="15"/>
      <c r="F8" s="15"/>
    </row>
    <row r="9" spans="1:18" ht="31.5" hidden="1" outlineLevel="1">
      <c r="B9" s="2" t="s">
        <v>4</v>
      </c>
      <c r="D9" s="162"/>
      <c r="E9" s="162"/>
      <c r="F9" s="162"/>
    </row>
    <row r="10" spans="1:18" collapsed="1">
      <c r="B10" s="1" t="s">
        <v>5</v>
      </c>
      <c r="D10" s="35" t="s">
        <v>246</v>
      </c>
      <c r="E10" s="15"/>
      <c r="F10" s="15"/>
      <c r="J10" s="10"/>
    </row>
    <row r="11" spans="1:18" hidden="1" outlineLevel="1">
      <c r="B11" s="1" t="s">
        <v>6</v>
      </c>
      <c r="D11" s="15" t="s">
        <v>16</v>
      </c>
      <c r="E11" s="15"/>
      <c r="F11" s="15"/>
    </row>
    <row r="12" spans="1:18" ht="31.5" hidden="1" outlineLevel="1">
      <c r="B12" s="2" t="s">
        <v>7</v>
      </c>
      <c r="C12" s="49"/>
      <c r="D12" s="323" t="s">
        <v>26</v>
      </c>
      <c r="E12" s="323"/>
      <c r="F12" s="15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66433.31</v>
      </c>
      <c r="O15" s="341">
        <v>74422.83</v>
      </c>
      <c r="P15" s="341">
        <f>65177.16*1.018</f>
        <v>66350.348880000005</v>
      </c>
      <c r="Q15" s="341">
        <f>72882.32*1.018</f>
        <v>74194.201760000011</v>
      </c>
      <c r="R15" s="339">
        <f>(N15+O15)/(P15+Q15)*100</f>
        <v>100.22170148794891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15042.059375589084</v>
      </c>
      <c r="H16" s="81">
        <f>($P$15/$P$16*E16)+($Q$15/$Q$16*F16)</f>
        <v>15009.293246501875</v>
      </c>
      <c r="I16" s="82">
        <f>H16-G16</f>
        <v>-32.766129087209265</v>
      </c>
      <c r="J16" s="171"/>
      <c r="K16" s="171"/>
      <c r="L16" s="12"/>
      <c r="M16" s="13"/>
      <c r="N16" s="342">
        <v>9.1</v>
      </c>
      <c r="O16" s="341">
        <v>10.19</v>
      </c>
      <c r="P16" s="342">
        <v>9.1</v>
      </c>
      <c r="Q16" s="341">
        <v>10.19</v>
      </c>
    </row>
    <row r="17" spans="2:17" ht="51">
      <c r="B17" s="102" t="s">
        <v>301</v>
      </c>
      <c r="C17" s="76" t="s">
        <v>299</v>
      </c>
      <c r="D17" s="77" t="s">
        <v>300</v>
      </c>
      <c r="E17" s="166">
        <v>1.1299999999999999</v>
      </c>
      <c r="F17" s="165">
        <v>1.17</v>
      </c>
      <c r="G17" s="80">
        <f t="shared" ref="G17:G27" si="0">($N$15/$N$16*E17)+($O$15/$O$16*F17)</f>
        <v>16794.524967022182</v>
      </c>
      <c r="H17" s="81">
        <f t="shared" ref="H17:H21" si="1">($P$15/$P$16*E17)+($Q$15/$Q$16*F17)</f>
        <v>16757.97246155201</v>
      </c>
      <c r="I17" s="82">
        <f t="shared" ref="I17:I27" si="2">H17-G17</f>
        <v>-36.552505470172036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166">
        <v>0.28000000000000003</v>
      </c>
      <c r="F18" s="165">
        <v>0.27</v>
      </c>
      <c r="G18" s="80">
        <f t="shared" si="0"/>
        <v>4016.0512180871146</v>
      </c>
      <c r="H18" s="81">
        <f t="shared" si="1"/>
        <v>4007.440705159509</v>
      </c>
      <c r="I18" s="82">
        <f t="shared" si="2"/>
        <v>-8.6105129276056687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166">
        <v>0.23</v>
      </c>
      <c r="F19" s="165">
        <v>0.23</v>
      </c>
      <c r="G19" s="80">
        <f t="shared" si="0"/>
        <v>3358.8923835801102</v>
      </c>
      <c r="H19" s="81">
        <f t="shared" si="1"/>
        <v>3351.6351621794265</v>
      </c>
      <c r="I19" s="82">
        <f t="shared" si="2"/>
        <v>-7.2572214006836475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166">
        <v>1.1399999999999999</v>
      </c>
      <c r="F20" s="165">
        <v>1.33</v>
      </c>
      <c r="G20" s="80">
        <f t="shared" si="0"/>
        <v>18036.09119516009</v>
      </c>
      <c r="H20" s="81">
        <f t="shared" si="1"/>
        <v>17995.857678834975</v>
      </c>
      <c r="I20" s="82">
        <f t="shared" si="2"/>
        <v>-40.233516325115488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166">
        <v>3.67</v>
      </c>
      <c r="F21" s="165">
        <v>3.33</v>
      </c>
      <c r="G21" s="80">
        <f t="shared" si="0"/>
        <v>51113.043832598225</v>
      </c>
      <c r="H21" s="81">
        <f t="shared" si="1"/>
        <v>51004.872241729179</v>
      </c>
      <c r="I21" s="82">
        <f t="shared" si="2"/>
        <v>-108.17159086904576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166">
        <v>1.94</v>
      </c>
      <c r="F22" s="165">
        <v>2.1</v>
      </c>
      <c r="G22" s="80">
        <v>27604.53</v>
      </c>
      <c r="H22" s="53">
        <v>30122.32</v>
      </c>
      <c r="I22" s="82">
        <f t="shared" si="2"/>
        <v>2517.7900000000009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166">
        <v>0.22</v>
      </c>
      <c r="F23" s="165">
        <v>0.21</v>
      </c>
      <c r="G23" s="80">
        <f t="shared" si="0"/>
        <v>3139.8184223705639</v>
      </c>
      <c r="H23" s="81">
        <f t="shared" ref="H23" si="3">($P$15/$P$16*E23)+($Q$15/$Q$16*F23)</f>
        <v>3133.1010976344405</v>
      </c>
      <c r="I23" s="82">
        <f t="shared" si="2"/>
        <v>-6.7173247361233734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166">
        <v>4.6399999999999997</v>
      </c>
      <c r="F24" s="165">
        <v>4.6399999999999997</v>
      </c>
      <c r="G24" s="80">
        <v>67747.37</v>
      </c>
      <c r="H24" s="130">
        <v>70358</v>
      </c>
      <c r="I24" s="82">
        <f t="shared" si="2"/>
        <v>2610.6300000000047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166">
        <v>0.71</v>
      </c>
      <c r="F25" s="165">
        <v>1.44</v>
      </c>
      <c r="G25" s="80">
        <f t="shared" si="0"/>
        <v>15700.321569724681</v>
      </c>
      <c r="H25" s="81">
        <f t="shared" ref="H25:H27" si="4">($P$15/$P$16*E25)+($Q$15/$Q$16*F25)</f>
        <v>15661.540175942286</v>
      </c>
      <c r="I25" s="82">
        <f t="shared" si="2"/>
        <v>-38.781393782395753</v>
      </c>
      <c r="J25" s="171"/>
      <c r="K25" s="171"/>
      <c r="L25" s="163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166">
        <v>0.25</v>
      </c>
      <c r="F26" s="165">
        <v>0.73</v>
      </c>
      <c r="G26" s="80">
        <f t="shared" si="0"/>
        <v>7156.657754478103</v>
      </c>
      <c r="H26" s="81">
        <f t="shared" si="4"/>
        <v>7137.9999359798994</v>
      </c>
      <c r="I26" s="82">
        <f t="shared" si="2"/>
        <v>-18.657818498203596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166">
        <v>0.46</v>
      </c>
      <c r="F27" s="165">
        <v>0.43</v>
      </c>
      <c r="G27" s="80">
        <f t="shared" si="0"/>
        <v>6498.6792813898574</v>
      </c>
      <c r="H27" s="81">
        <f t="shared" si="4"/>
        <v>6484.8379344864297</v>
      </c>
      <c r="I27" s="82">
        <f t="shared" si="2"/>
        <v>-13.84134690342762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15.680000000000003</v>
      </c>
      <c r="F28" s="88">
        <f>SUM(F16:F27)</f>
        <v>16.93</v>
      </c>
      <c r="G28" s="173">
        <f>SUM(G16:G27)</f>
        <v>236208.04</v>
      </c>
      <c r="H28" s="174">
        <f>SUM(H16:H27)</f>
        <v>241024.87064000004</v>
      </c>
      <c r="I28" s="175">
        <f>H28-G28</f>
        <v>4816.8306400000292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161"/>
      <c r="K30" s="161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63"/>
      <c r="K31" s="163"/>
      <c r="L31" s="44"/>
      <c r="M31" s="168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236208.04</v>
      </c>
      <c r="E32" s="296"/>
      <c r="F32" s="295">
        <f>66433.31+74422.83+27604.53</f>
        <v>168460.67</v>
      </c>
      <c r="G32" s="296"/>
      <c r="H32" s="295">
        <f>G24</f>
        <v>67747.37</v>
      </c>
      <c r="I32" s="297"/>
      <c r="J32" s="164"/>
      <c r="K32" s="164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220564.96000000002</v>
      </c>
      <c r="E33" s="296"/>
      <c r="F33" s="295">
        <f>62213.47+69695.5+25211.92</f>
        <v>157120.89000000001</v>
      </c>
      <c r="G33" s="296"/>
      <c r="H33" s="295">
        <v>63444.07</v>
      </c>
      <c r="I33" s="297"/>
      <c r="J33" s="164"/>
      <c r="K33" s="164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241024.87064000004</v>
      </c>
      <c r="E34" s="315"/>
      <c r="F34" s="314">
        <f>H16+H17+H18+H19+H20+H21+H22+H23+H25+H26+H27</f>
        <v>170666.87064000004</v>
      </c>
      <c r="G34" s="315"/>
      <c r="H34" s="314">
        <f>H24</f>
        <v>70358</v>
      </c>
      <c r="I34" s="316"/>
      <c r="J34" s="164"/>
      <c r="K34" s="164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-20459.910640000024</v>
      </c>
      <c r="E35" s="318"/>
      <c r="F35" s="319">
        <f>F33-F34</f>
        <v>-13545.980640000023</v>
      </c>
      <c r="G35" s="320"/>
      <c r="H35" s="319">
        <f>H33-H34</f>
        <v>-6913.93</v>
      </c>
      <c r="I35" s="321"/>
      <c r="J35" s="164"/>
      <c r="K35" s="164"/>
      <c r="L35" s="5"/>
      <c r="M35" s="5"/>
      <c r="N35" s="341"/>
      <c r="O35" s="341"/>
      <c r="P35" s="341"/>
      <c r="Q35" s="341"/>
    </row>
    <row r="36" spans="2:17" ht="34.5" customHeight="1">
      <c r="B36" s="159" t="s">
        <v>267</v>
      </c>
      <c r="C36" s="159"/>
      <c r="D36" s="131"/>
      <c r="E36" s="322" t="s">
        <v>10</v>
      </c>
      <c r="F36" s="322"/>
      <c r="G36" s="287" t="s">
        <v>11</v>
      </c>
      <c r="H36" s="287"/>
      <c r="I36" s="159"/>
      <c r="J36" s="159"/>
      <c r="K36" s="159"/>
      <c r="L36" s="6"/>
      <c r="M36" s="6"/>
      <c r="N36" s="344"/>
      <c r="O36" s="344"/>
      <c r="P36" s="344"/>
      <c r="Q36" s="344"/>
    </row>
    <row r="37" spans="2:17" ht="11.25" customHeight="1">
      <c r="B37" s="159"/>
      <c r="C37" s="159"/>
      <c r="D37" s="159"/>
      <c r="E37" s="285" t="s">
        <v>12</v>
      </c>
      <c r="F37" s="285"/>
      <c r="G37" s="288"/>
      <c r="H37" s="288"/>
      <c r="I37" s="160"/>
      <c r="J37" s="160"/>
      <c r="K37" s="160"/>
      <c r="L37" s="6"/>
      <c r="M37" s="6"/>
      <c r="N37" s="344"/>
      <c r="O37" s="344"/>
      <c r="P37" s="344"/>
      <c r="Q37" s="344"/>
    </row>
    <row r="38" spans="2:17">
      <c r="B38" s="159" t="s">
        <v>268</v>
      </c>
      <c r="C38" s="159"/>
      <c r="D38" s="159"/>
      <c r="E38" s="286" t="s">
        <v>10</v>
      </c>
      <c r="F38" s="286"/>
      <c r="G38" s="287" t="s">
        <v>312</v>
      </c>
      <c r="H38" s="287"/>
      <c r="I38" s="159"/>
      <c r="J38" s="159"/>
      <c r="K38" s="159"/>
      <c r="L38" s="6"/>
      <c r="M38" s="6"/>
      <c r="N38" s="344"/>
      <c r="O38" s="344"/>
      <c r="P38" s="344"/>
      <c r="Q38" s="344"/>
    </row>
    <row r="39" spans="2:17" ht="9.75" customHeight="1">
      <c r="B39" s="159"/>
      <c r="C39" s="159"/>
      <c r="D39" s="159"/>
      <c r="E39" s="285" t="s">
        <v>12</v>
      </c>
      <c r="F39" s="285"/>
      <c r="G39" s="287"/>
      <c r="H39" s="287"/>
      <c r="I39" s="159"/>
      <c r="J39" s="159"/>
      <c r="K39" s="159"/>
      <c r="N39" s="341"/>
      <c r="O39" s="341"/>
      <c r="P39" s="341"/>
      <c r="Q39" s="341"/>
    </row>
    <row r="40" spans="2:17">
      <c r="B40" s="159" t="s">
        <v>269</v>
      </c>
      <c r="C40" s="159"/>
      <c r="D40" s="159"/>
      <c r="E40" s="286" t="s">
        <v>10</v>
      </c>
      <c r="F40" s="286"/>
      <c r="G40" s="287" t="s">
        <v>313</v>
      </c>
      <c r="H40" s="287"/>
      <c r="I40" s="159"/>
      <c r="J40" s="159"/>
      <c r="K40" s="159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167"/>
      <c r="J41" s="167"/>
      <c r="K41" s="167"/>
      <c r="N41" s="341"/>
      <c r="O41" s="341"/>
      <c r="P41" s="341"/>
      <c r="Q41" s="341"/>
    </row>
    <row r="42" spans="2:17">
      <c r="B42" s="159" t="s">
        <v>270</v>
      </c>
      <c r="C42" s="159"/>
      <c r="D42" s="159"/>
      <c r="E42" s="286" t="s">
        <v>10</v>
      </c>
      <c r="F42" s="286"/>
      <c r="G42" s="287" t="s">
        <v>244</v>
      </c>
      <c r="H42" s="287"/>
      <c r="I42" s="1"/>
    </row>
    <row r="43" spans="2:17">
      <c r="C43" s="46"/>
      <c r="I43" s="1"/>
    </row>
  </sheetData>
  <mergeCells count="40">
    <mergeCell ref="D33:E33"/>
    <mergeCell ref="F33:G33"/>
    <mergeCell ref="D31:E31"/>
    <mergeCell ref="F31:G31"/>
    <mergeCell ref="H31:I31"/>
    <mergeCell ref="D32:E32"/>
    <mergeCell ref="F32:G32"/>
    <mergeCell ref="H32:I32"/>
    <mergeCell ref="D5:F5"/>
    <mergeCell ref="D12:E12"/>
    <mergeCell ref="B13:I13"/>
    <mergeCell ref="B14:B15"/>
    <mergeCell ref="C14:C15"/>
    <mergeCell ref="D14:D15"/>
    <mergeCell ref="E14:E15"/>
    <mergeCell ref="F14:F15"/>
    <mergeCell ref="G14:H14"/>
    <mergeCell ref="I14:I15"/>
    <mergeCell ref="E41:F41"/>
    <mergeCell ref="E42:F42"/>
    <mergeCell ref="G42:H42"/>
    <mergeCell ref="E38:F38"/>
    <mergeCell ref="G38:H38"/>
    <mergeCell ref="E39:F39"/>
    <mergeCell ref="G39:H39"/>
    <mergeCell ref="B2:I3"/>
    <mergeCell ref="B30:I30"/>
    <mergeCell ref="E40:F40"/>
    <mergeCell ref="G40:H40"/>
    <mergeCell ref="E36:F36"/>
    <mergeCell ref="G36:H36"/>
    <mergeCell ref="E37:F37"/>
    <mergeCell ref="G37:H37"/>
    <mergeCell ref="H33:I33"/>
    <mergeCell ref="D34:E34"/>
    <mergeCell ref="F34:G34"/>
    <mergeCell ref="H34:I34"/>
    <mergeCell ref="D35:E35"/>
    <mergeCell ref="F35:G35"/>
    <mergeCell ref="H35:I35"/>
  </mergeCells>
  <pageMargins left="0.19685039370078741" right="0.19685039370078741" top="0.16" bottom="0.23622047244094491" header="0.18" footer="0.25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85546875" style="1" customWidth="1"/>
    <col min="3" max="3" width="12.7109375" style="46" customWidth="1"/>
    <col min="4" max="4" width="9.7109375" style="3" customWidth="1"/>
    <col min="5" max="5" width="10.42578125" style="3" customWidth="1"/>
    <col min="6" max="6" width="11.140625" style="3" customWidth="1"/>
    <col min="7" max="7" width="9.5703125" style="3" customWidth="1"/>
    <col min="8" max="8" width="10.42578125" style="1" customWidth="1"/>
    <col min="9" max="9" width="11.28515625" style="3" customWidth="1"/>
    <col min="10" max="10" width="10.7109375" style="1" bestFit="1" customWidth="1"/>
    <col min="11" max="11" width="11.85546875" style="1" customWidth="1"/>
    <col min="12" max="12" width="15.5703125" style="1" customWidth="1"/>
    <col min="13" max="13" width="9.140625" style="1"/>
    <col min="14" max="14" width="14.42578125" style="339" customWidth="1"/>
    <col min="15" max="15" width="15.140625" style="339" customWidth="1"/>
    <col min="16" max="16" width="12.85546875" style="339" customWidth="1"/>
    <col min="17" max="17" width="17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7" customHeight="1">
      <c r="A3" s="99"/>
      <c r="B3" s="313"/>
      <c r="C3" s="313"/>
      <c r="D3" s="313"/>
      <c r="E3" s="313"/>
      <c r="F3" s="313"/>
      <c r="G3" s="313"/>
      <c r="H3" s="313"/>
      <c r="I3" s="313"/>
    </row>
    <row r="5" spans="1:18">
      <c r="B5" s="1" t="s">
        <v>0</v>
      </c>
      <c r="D5" s="299" t="s">
        <v>28</v>
      </c>
      <c r="E5" s="299"/>
      <c r="F5" s="299"/>
    </row>
    <row r="6" spans="1:18">
      <c r="B6" s="1" t="s">
        <v>1</v>
      </c>
      <c r="D6" s="15">
        <v>1993</v>
      </c>
      <c r="E6" s="15"/>
      <c r="F6" s="15"/>
    </row>
    <row r="7" spans="1:18" hidden="1" outlineLevel="1">
      <c r="B7" s="1" t="s">
        <v>2</v>
      </c>
      <c r="D7" s="15">
        <v>4</v>
      </c>
      <c r="E7" s="15"/>
      <c r="F7" s="15"/>
    </row>
    <row r="8" spans="1:18" hidden="1" outlineLevel="1">
      <c r="B8" s="1" t="s">
        <v>3</v>
      </c>
      <c r="D8" s="15">
        <v>16</v>
      </c>
      <c r="E8" s="15"/>
      <c r="F8" s="15"/>
    </row>
    <row r="9" spans="1:18" ht="31.5" hidden="1" outlineLevel="1">
      <c r="B9" s="2" t="s">
        <v>4</v>
      </c>
      <c r="C9" s="47"/>
      <c r="D9" s="15" t="s">
        <v>30</v>
      </c>
      <c r="E9" s="15"/>
      <c r="F9" s="15"/>
    </row>
    <row r="10" spans="1:18" collapsed="1">
      <c r="B10" s="1" t="s">
        <v>5</v>
      </c>
      <c r="D10" s="15" t="s">
        <v>29</v>
      </c>
      <c r="E10" s="15"/>
      <c r="F10" s="15"/>
      <c r="J10" s="10"/>
    </row>
    <row r="11" spans="1:18" hidden="1" outlineLevel="1">
      <c r="B11" s="1" t="s">
        <v>6</v>
      </c>
      <c r="D11" s="15" t="s">
        <v>16</v>
      </c>
      <c r="E11" s="15"/>
      <c r="F11" s="15"/>
    </row>
    <row r="12" spans="1:18" ht="31.5" hidden="1" outlineLevel="1">
      <c r="B12" s="2" t="s">
        <v>7</v>
      </c>
      <c r="C12" s="47"/>
      <c r="D12" s="323" t="s">
        <v>31</v>
      </c>
      <c r="E12" s="323"/>
      <c r="F12" s="15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49111.34</v>
      </c>
      <c r="O15" s="341">
        <v>55035.199999999997</v>
      </c>
      <c r="P15" s="341">
        <f>44909.52*1.09</f>
        <v>48951.376799999998</v>
      </c>
      <c r="Q15" s="341">
        <f>50218.66*1.09</f>
        <v>54738.339400000004</v>
      </c>
      <c r="R15" s="339">
        <f>(N15+O15)/(P15+Q15)*100</f>
        <v>100.44056808788912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11214.985306572273</v>
      </c>
      <c r="H16" s="81">
        <f>($P$15/$P$16*E16)+($Q$15/$Q$16*F16)</f>
        <v>11166.242464814753</v>
      </c>
      <c r="I16" s="82">
        <f>H16-G16</f>
        <v>-48.742841757519273</v>
      </c>
      <c r="J16" s="171"/>
      <c r="K16" s="171"/>
      <c r="L16" s="12"/>
      <c r="M16" s="13"/>
      <c r="N16" s="342">
        <v>9.02</v>
      </c>
      <c r="O16" s="341">
        <v>10.11</v>
      </c>
      <c r="P16" s="342">
        <v>9.02</v>
      </c>
      <c r="Q16" s="341">
        <v>10.11</v>
      </c>
    </row>
    <row r="17" spans="2:17" ht="51">
      <c r="B17" s="102" t="s">
        <v>301</v>
      </c>
      <c r="C17" s="76" t="s">
        <v>299</v>
      </c>
      <c r="D17" s="77" t="s">
        <v>300</v>
      </c>
      <c r="E17" s="183">
        <v>1.1299999999999999</v>
      </c>
      <c r="F17" s="181">
        <v>1.17</v>
      </c>
      <c r="G17" s="80">
        <f t="shared" ref="G17:G28" si="0">($N$15/$N$16*E17)+($O$15/$O$16*F17)</f>
        <v>12521.58804417483</v>
      </c>
      <c r="H17" s="81">
        <f t="shared" ref="H17:H21" si="1">($P$15/$P$16*E17)+($Q$15/$Q$16*F17)</f>
        <v>12467.19352093929</v>
      </c>
      <c r="I17" s="82">
        <f t="shared" ref="I17:I28" si="2">H17-G17</f>
        <v>-54.394523235539964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183">
        <v>0.28000000000000003</v>
      </c>
      <c r="F18" s="181">
        <v>0.27</v>
      </c>
      <c r="G18" s="80">
        <f t="shared" si="0"/>
        <v>2994.3033214682837</v>
      </c>
      <c r="H18" s="81">
        <f t="shared" si="1"/>
        <v>2981.4096953489448</v>
      </c>
      <c r="I18" s="82">
        <f t="shared" si="2"/>
        <v>-12.893626119338933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183">
        <v>0.16</v>
      </c>
      <c r="F19" s="181">
        <v>0.25</v>
      </c>
      <c r="G19" s="80">
        <f t="shared" si="0"/>
        <v>2232.0645799092467</v>
      </c>
      <c r="H19" s="81">
        <f t="shared" si="1"/>
        <v>2221.8863286408268</v>
      </c>
      <c r="I19" s="82">
        <f t="shared" si="2"/>
        <v>-10.178251268419899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183">
        <v>1.1399999999999999</v>
      </c>
      <c r="F20" s="181">
        <v>1.33</v>
      </c>
      <c r="G20" s="80">
        <f t="shared" si="0"/>
        <v>13447.017599706993</v>
      </c>
      <c r="H20" s="81">
        <f t="shared" si="1"/>
        <v>13387.747643074299</v>
      </c>
      <c r="I20" s="82">
        <f t="shared" si="2"/>
        <v>-59.26995663269372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183">
        <v>3.67</v>
      </c>
      <c r="F21" s="181">
        <v>3.33</v>
      </c>
      <c r="G21" s="80">
        <f t="shared" si="0"/>
        <v>38109.429471796931</v>
      </c>
      <c r="H21" s="81">
        <f t="shared" si="1"/>
        <v>37946.565655792932</v>
      </c>
      <c r="I21" s="82">
        <f t="shared" si="2"/>
        <v>-162.86381600399909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183">
        <v>1.94</v>
      </c>
      <c r="F22" s="181">
        <v>2.1</v>
      </c>
      <c r="G22" s="80">
        <v>20443.740000000002</v>
      </c>
      <c r="H22" s="53">
        <v>20755.419999999998</v>
      </c>
      <c r="I22" s="82">
        <f t="shared" si="2"/>
        <v>311.67999999999665</v>
      </c>
      <c r="J22" s="171"/>
      <c r="K22" s="171"/>
      <c r="N22" s="341"/>
      <c r="O22" s="341"/>
      <c r="P22" s="341"/>
      <c r="Q22" s="341"/>
    </row>
    <row r="23" spans="2:17" ht="112.5" customHeight="1">
      <c r="B23" s="102" t="s">
        <v>305</v>
      </c>
      <c r="C23" s="76" t="s">
        <v>299</v>
      </c>
      <c r="D23" s="77" t="s">
        <v>300</v>
      </c>
      <c r="E23" s="183">
        <v>0.22</v>
      </c>
      <c r="F23" s="181">
        <v>0.21</v>
      </c>
      <c r="G23" s="80">
        <f t="shared" si="0"/>
        <v>2341.0019526670048</v>
      </c>
      <c r="H23" s="81">
        <f t="shared" ref="H23" si="3">($P$15/$P$16*E23)+($Q$15/$Q$16*F23)</f>
        <v>2330.9341672866758</v>
      </c>
      <c r="I23" s="82">
        <f t="shared" si="2"/>
        <v>-10.067785380329042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183">
        <v>4.6399999999999997</v>
      </c>
      <c r="F24" s="181">
        <v>4.6399999999999997</v>
      </c>
      <c r="G24" s="80">
        <v>50526.97</v>
      </c>
      <c r="H24" s="130">
        <v>9990</v>
      </c>
      <c r="I24" s="82">
        <f t="shared" si="2"/>
        <v>-40536.97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183">
        <v>0.71</v>
      </c>
      <c r="F25" s="181">
        <v>1.44</v>
      </c>
      <c r="G25" s="80">
        <f t="shared" si="0"/>
        <v>11704.590035266174</v>
      </c>
      <c r="H25" s="81">
        <f t="shared" ref="H25:H28" si="4">($P$15/$P$16*E25)+($Q$15/$Q$16*F25)</f>
        <v>11649.715881476706</v>
      </c>
      <c r="I25" s="82">
        <f t="shared" si="2"/>
        <v>-54.874153789467528</v>
      </c>
      <c r="J25" s="171"/>
      <c r="K25" s="171"/>
      <c r="L25" s="17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183">
        <v>0.25</v>
      </c>
      <c r="F26" s="181">
        <v>0.73</v>
      </c>
      <c r="G26" s="80">
        <f t="shared" si="0"/>
        <v>5335.0362176808976</v>
      </c>
      <c r="H26" s="81">
        <f t="shared" si="4"/>
        <v>5309.1676094582654</v>
      </c>
      <c r="I26" s="82">
        <f t="shared" si="2"/>
        <v>-25.868608222632247</v>
      </c>
      <c r="J26" s="171"/>
      <c r="K26" s="171"/>
      <c r="L26" s="85"/>
      <c r="M26" s="10"/>
      <c r="N26" s="345"/>
      <c r="O26" s="345"/>
      <c r="P26" s="341"/>
      <c r="Q26" s="341"/>
    </row>
    <row r="27" spans="2:17" ht="24.75">
      <c r="B27" s="84" t="s">
        <v>279</v>
      </c>
      <c r="C27" s="83" t="s">
        <v>323</v>
      </c>
      <c r="D27" s="77" t="s">
        <v>300</v>
      </c>
      <c r="E27" s="183">
        <v>0.12</v>
      </c>
      <c r="F27" s="181">
        <v>0.15</v>
      </c>
      <c r="G27" s="80">
        <f t="shared" ref="G27" si="5">($N$15/$N$16*E27)+($O$15/$O$16*F27)</f>
        <v>1469.9119364156145</v>
      </c>
      <c r="H27" s="81">
        <f t="shared" ref="H27" si="6">($P$15/$P$16*E27)+($Q$15/$Q$16*F27)</f>
        <v>1463.3793629494628</v>
      </c>
      <c r="I27" s="82">
        <f t="shared" si="2"/>
        <v>-6.532573466151689</v>
      </c>
      <c r="J27" s="171"/>
      <c r="K27" s="171"/>
      <c r="L27" s="85"/>
      <c r="M27" s="10"/>
      <c r="N27" s="345"/>
      <c r="O27" s="345"/>
      <c r="P27" s="341"/>
      <c r="Q27" s="341"/>
    </row>
    <row r="28" spans="2:17">
      <c r="B28" s="84" t="s">
        <v>273</v>
      </c>
      <c r="C28" s="86" t="s">
        <v>303</v>
      </c>
      <c r="D28" s="77" t="s">
        <v>300</v>
      </c>
      <c r="E28" s="183">
        <v>0.33</v>
      </c>
      <c r="F28" s="181">
        <v>0.18</v>
      </c>
      <c r="G28" s="80">
        <f t="shared" si="0"/>
        <v>2776.6115343417532</v>
      </c>
      <c r="H28" s="81">
        <f t="shared" si="4"/>
        <v>2765.4738702178479</v>
      </c>
      <c r="I28" s="82">
        <f t="shared" si="2"/>
        <v>-11.137664123905324</v>
      </c>
      <c r="J28" s="171"/>
      <c r="K28" s="171"/>
      <c r="N28" s="341"/>
      <c r="O28" s="341"/>
      <c r="P28" s="341"/>
      <c r="Q28" s="341"/>
    </row>
    <row r="29" spans="2:17" ht="16.5" thickBot="1">
      <c r="B29" s="55" t="s">
        <v>278</v>
      </c>
      <c r="C29" s="87"/>
      <c r="D29" s="87"/>
      <c r="E29" s="54">
        <f>SUM(E16:E28)</f>
        <v>15.600000000000001</v>
      </c>
      <c r="F29" s="88">
        <f>SUM(F16:F28)</f>
        <v>16.849999999999998</v>
      </c>
      <c r="G29" s="173">
        <f>SUM(G16:G28)</f>
        <v>175117.25000000003</v>
      </c>
      <c r="H29" s="174">
        <f>SUM(H16:H28)</f>
        <v>134435.13620000001</v>
      </c>
      <c r="I29" s="175">
        <f>H29-G29</f>
        <v>-40682.113800000021</v>
      </c>
      <c r="J29" s="172"/>
      <c r="K29" s="172"/>
      <c r="N29" s="341"/>
      <c r="O29" s="341"/>
      <c r="P29" s="341"/>
      <c r="Q29" s="341"/>
    </row>
    <row r="30" spans="2:17">
      <c r="B30" s="10"/>
      <c r="C30" s="10"/>
      <c r="D30" s="10"/>
      <c r="E30" s="46"/>
      <c r="F30" s="46"/>
      <c r="G30" s="46"/>
      <c r="H30" s="46"/>
      <c r="J30" s="3"/>
      <c r="K30" s="3"/>
      <c r="N30" s="341"/>
      <c r="O30" s="341"/>
      <c r="P30" s="341"/>
      <c r="Q30" s="341"/>
    </row>
    <row r="31" spans="2:17" ht="16.5" thickBot="1">
      <c r="B31" s="289" t="s">
        <v>308</v>
      </c>
      <c r="C31" s="289"/>
      <c r="D31" s="289"/>
      <c r="E31" s="289"/>
      <c r="F31" s="289"/>
      <c r="G31" s="289"/>
      <c r="H31" s="289"/>
      <c r="I31" s="289"/>
      <c r="J31" s="177"/>
      <c r="K31" s="177"/>
      <c r="N31" s="341"/>
      <c r="O31" s="341"/>
      <c r="P31" s="341"/>
      <c r="Q31" s="341"/>
    </row>
    <row r="32" spans="2:17" ht="44.25" customHeight="1">
      <c r="B32" s="56"/>
      <c r="C32" s="91"/>
      <c r="D32" s="290" t="s">
        <v>309</v>
      </c>
      <c r="E32" s="291"/>
      <c r="F32" s="292" t="s">
        <v>8</v>
      </c>
      <c r="G32" s="293"/>
      <c r="H32" s="292" t="s">
        <v>9</v>
      </c>
      <c r="I32" s="294"/>
      <c r="J32" s="179"/>
      <c r="K32" s="179"/>
      <c r="L32" s="44"/>
      <c r="M32" s="184"/>
      <c r="N32" s="345"/>
      <c r="O32" s="345"/>
      <c r="P32" s="345"/>
      <c r="Q32" s="345"/>
    </row>
    <row r="33" spans="2:17">
      <c r="B33" s="57" t="s">
        <v>18</v>
      </c>
      <c r="C33" s="94"/>
      <c r="D33" s="295">
        <f>F33+H33</f>
        <v>175117.25</v>
      </c>
      <c r="E33" s="296"/>
      <c r="F33" s="295">
        <f>49111.34+55035.2+20443.74</f>
        <v>124590.28</v>
      </c>
      <c r="G33" s="296"/>
      <c r="H33" s="295">
        <f>G24</f>
        <v>50526.97</v>
      </c>
      <c r="I33" s="297"/>
      <c r="J33" s="180"/>
      <c r="K33" s="180"/>
      <c r="L33" s="5"/>
      <c r="M33" s="5"/>
      <c r="N33" s="341"/>
      <c r="O33" s="341"/>
      <c r="P33" s="341"/>
      <c r="Q33" s="341"/>
    </row>
    <row r="34" spans="2:17">
      <c r="B34" s="57" t="s">
        <v>19</v>
      </c>
      <c r="C34" s="94"/>
      <c r="D34" s="295">
        <f>F34+H34</f>
        <v>155587.85</v>
      </c>
      <c r="E34" s="296"/>
      <c r="F34" s="295">
        <f>43822.65+49108.57+17570.8</f>
        <v>110502.02</v>
      </c>
      <c r="G34" s="296"/>
      <c r="H34" s="295">
        <v>45085.83</v>
      </c>
      <c r="I34" s="297"/>
      <c r="J34" s="180"/>
      <c r="K34" s="180"/>
      <c r="L34" s="42"/>
      <c r="M34" s="5"/>
      <c r="N34" s="341"/>
      <c r="O34" s="341"/>
      <c r="P34" s="341"/>
      <c r="Q34" s="341"/>
    </row>
    <row r="35" spans="2:17" ht="16.5" thickBot="1">
      <c r="B35" s="58" t="s">
        <v>277</v>
      </c>
      <c r="C35" s="96"/>
      <c r="D35" s="314">
        <f>F35+H35</f>
        <v>132971.75683705055</v>
      </c>
      <c r="E35" s="315"/>
      <c r="F35" s="314">
        <f>H16+H17+H18+H19+H20+H21+H22+H23+H25+H26+H28</f>
        <v>122981.75683705053</v>
      </c>
      <c r="G35" s="315"/>
      <c r="H35" s="314">
        <f>H24</f>
        <v>9990</v>
      </c>
      <c r="I35" s="316"/>
      <c r="J35" s="180"/>
      <c r="K35" s="180"/>
      <c r="L35" s="5"/>
      <c r="M35" s="5"/>
      <c r="N35" s="341"/>
      <c r="O35" s="341"/>
      <c r="P35" s="341"/>
      <c r="Q35" s="341"/>
    </row>
    <row r="36" spans="2:17" ht="27" thickBot="1">
      <c r="B36" s="60" t="s">
        <v>245</v>
      </c>
      <c r="C36" s="98"/>
      <c r="D36" s="317">
        <f>F36+H36</f>
        <v>22616.093162949473</v>
      </c>
      <c r="E36" s="318"/>
      <c r="F36" s="319">
        <f>F34-F35</f>
        <v>-12479.736837050528</v>
      </c>
      <c r="G36" s="320"/>
      <c r="H36" s="319">
        <f>H34-H35</f>
        <v>35095.83</v>
      </c>
      <c r="I36" s="321"/>
      <c r="J36" s="180"/>
      <c r="K36" s="180"/>
      <c r="L36" s="5"/>
      <c r="M36" s="5"/>
      <c r="N36" s="341"/>
      <c r="O36" s="341"/>
      <c r="P36" s="341"/>
      <c r="Q36" s="341"/>
    </row>
    <row r="37" spans="2:17" ht="34.5" customHeight="1">
      <c r="B37" s="176" t="s">
        <v>267</v>
      </c>
      <c r="C37" s="176"/>
      <c r="D37" s="131"/>
      <c r="E37" s="322" t="s">
        <v>10</v>
      </c>
      <c r="F37" s="322"/>
      <c r="G37" s="287" t="s">
        <v>11</v>
      </c>
      <c r="H37" s="287"/>
      <c r="I37" s="176"/>
      <c r="J37" s="176"/>
      <c r="K37" s="176"/>
      <c r="L37" s="6"/>
      <c r="M37" s="6"/>
      <c r="N37" s="344"/>
      <c r="O37" s="344"/>
      <c r="P37" s="344"/>
      <c r="Q37" s="344"/>
    </row>
    <row r="38" spans="2:17" ht="11.25" customHeight="1">
      <c r="B38" s="176"/>
      <c r="C38" s="176"/>
      <c r="D38" s="176"/>
      <c r="E38" s="285" t="s">
        <v>12</v>
      </c>
      <c r="F38" s="285"/>
      <c r="G38" s="288"/>
      <c r="H38" s="288"/>
      <c r="I38" s="178"/>
      <c r="J38" s="178"/>
      <c r="K38" s="178"/>
      <c r="L38" s="6"/>
      <c r="M38" s="6"/>
      <c r="N38" s="344"/>
      <c r="O38" s="344"/>
      <c r="P38" s="344"/>
      <c r="Q38" s="344"/>
    </row>
    <row r="39" spans="2:17">
      <c r="B39" s="176" t="s">
        <v>268</v>
      </c>
      <c r="C39" s="176"/>
      <c r="D39" s="176"/>
      <c r="E39" s="286" t="s">
        <v>10</v>
      </c>
      <c r="F39" s="286"/>
      <c r="G39" s="287" t="s">
        <v>312</v>
      </c>
      <c r="H39" s="287"/>
      <c r="I39" s="176"/>
      <c r="J39" s="176"/>
      <c r="K39" s="176"/>
      <c r="L39" s="6"/>
      <c r="M39" s="6"/>
      <c r="N39" s="344"/>
      <c r="O39" s="344"/>
      <c r="P39" s="344"/>
      <c r="Q39" s="344"/>
    </row>
    <row r="40" spans="2:17" ht="9.75" customHeight="1">
      <c r="B40" s="176"/>
      <c r="C40" s="176"/>
      <c r="D40" s="176"/>
      <c r="E40" s="285" t="s">
        <v>12</v>
      </c>
      <c r="F40" s="285"/>
      <c r="G40" s="287"/>
      <c r="H40" s="287"/>
      <c r="I40" s="176"/>
      <c r="J40" s="176"/>
      <c r="K40" s="176"/>
      <c r="N40" s="341"/>
      <c r="O40" s="341"/>
      <c r="P40" s="341"/>
      <c r="Q40" s="341"/>
    </row>
    <row r="41" spans="2:17">
      <c r="B41" s="176" t="s">
        <v>269</v>
      </c>
      <c r="C41" s="176"/>
      <c r="D41" s="176"/>
      <c r="E41" s="286" t="s">
        <v>10</v>
      </c>
      <c r="F41" s="286"/>
      <c r="G41" s="287" t="s">
        <v>313</v>
      </c>
      <c r="H41" s="287"/>
      <c r="I41" s="176"/>
      <c r="J41" s="176"/>
      <c r="K41" s="176"/>
      <c r="N41" s="341"/>
      <c r="O41" s="341"/>
      <c r="P41" s="341"/>
      <c r="Q41" s="341"/>
    </row>
    <row r="42" spans="2:17" ht="8.25" customHeight="1">
      <c r="B42" s="61"/>
      <c r="C42" s="61"/>
      <c r="D42" s="61"/>
      <c r="E42" s="285" t="s">
        <v>12</v>
      </c>
      <c r="F42" s="285"/>
      <c r="G42" s="100"/>
      <c r="H42" s="117"/>
      <c r="I42" s="182"/>
      <c r="J42" s="182"/>
      <c r="K42" s="182"/>
      <c r="N42" s="341"/>
      <c r="O42" s="341"/>
      <c r="P42" s="341"/>
      <c r="Q42" s="341"/>
    </row>
    <row r="43" spans="2:17">
      <c r="B43" s="176" t="s">
        <v>270</v>
      </c>
      <c r="C43" s="176"/>
      <c r="D43" s="176"/>
      <c r="E43" s="286" t="s">
        <v>10</v>
      </c>
      <c r="F43" s="286"/>
      <c r="G43" s="287" t="s">
        <v>244</v>
      </c>
      <c r="H43" s="287"/>
      <c r="I43" s="1"/>
    </row>
    <row r="44" spans="2:17" ht="11.25" customHeight="1">
      <c r="E44" s="285" t="s">
        <v>12</v>
      </c>
      <c r="F44" s="285"/>
      <c r="I44" s="1"/>
    </row>
  </sheetData>
  <mergeCells count="41">
    <mergeCell ref="E38:F38"/>
    <mergeCell ref="G38:H38"/>
    <mergeCell ref="G37:H37"/>
    <mergeCell ref="E44:F44"/>
    <mergeCell ref="G40:H40"/>
    <mergeCell ref="E41:F41"/>
    <mergeCell ref="G41:H41"/>
    <mergeCell ref="E42:F42"/>
    <mergeCell ref="E43:F43"/>
    <mergeCell ref="G43:H43"/>
    <mergeCell ref="E39:F39"/>
    <mergeCell ref="G39:H39"/>
    <mergeCell ref="E40:F40"/>
    <mergeCell ref="E37:F37"/>
    <mergeCell ref="D35:E35"/>
    <mergeCell ref="F35:G35"/>
    <mergeCell ref="H35:I35"/>
    <mergeCell ref="D36:E36"/>
    <mergeCell ref="F36:G36"/>
    <mergeCell ref="H36:I36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4:E34"/>
    <mergeCell ref="F34:G34"/>
    <mergeCell ref="H34:I34"/>
    <mergeCell ref="B31:I31"/>
    <mergeCell ref="D32:E32"/>
    <mergeCell ref="F32:G32"/>
    <mergeCell ref="H32:I32"/>
    <mergeCell ref="D33:E33"/>
    <mergeCell ref="F33:G33"/>
    <mergeCell ref="H33:I33"/>
  </mergeCells>
  <pageMargins left="0.23" right="0.19685039370078741" top="0.16" bottom="0.31496062992125984" header="0.16" footer="0.31496062992125984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2"/>
  <sheetViews>
    <sheetView topLeftCell="E10" zoomScale="110" zoomScaleNormal="110" workbookViewId="0">
      <selection activeCell="N10" sqref="N1:S1048576"/>
    </sheetView>
  </sheetViews>
  <sheetFormatPr defaultColWidth="9.140625" defaultRowHeight="15.75" outlineLevelRow="1"/>
  <cols>
    <col min="1" max="1" width="2.85546875" style="1" customWidth="1"/>
    <col min="2" max="2" width="54.5703125" style="1" customWidth="1"/>
    <col min="3" max="3" width="10" style="46" customWidth="1"/>
    <col min="4" max="4" width="8.42578125" style="3" customWidth="1"/>
    <col min="5" max="5" width="9.42578125" style="3" customWidth="1"/>
    <col min="6" max="7" width="10" style="3" customWidth="1"/>
    <col min="8" max="8" width="9.7109375" style="1" customWidth="1"/>
    <col min="9" max="9" width="11" style="3" customWidth="1"/>
    <col min="10" max="11" width="10.7109375" style="1" bestFit="1" customWidth="1"/>
    <col min="12" max="12" width="16.28515625" style="1" customWidth="1"/>
    <col min="13" max="13" width="11.28515625" style="1" customWidth="1"/>
    <col min="14" max="14" width="13.140625" style="339" customWidth="1"/>
    <col min="15" max="19" width="9.140625" style="339"/>
    <col min="20" max="16384" width="9.140625" style="1"/>
  </cols>
  <sheetData>
    <row r="1" spans="2:18">
      <c r="B1" s="298" t="s">
        <v>319</v>
      </c>
      <c r="C1" s="298"/>
      <c r="D1" s="298"/>
      <c r="E1" s="298"/>
      <c r="F1" s="298"/>
      <c r="G1" s="298"/>
      <c r="H1" s="298"/>
      <c r="I1" s="298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4.7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1.25" customHeight="1"/>
    <row r="5" spans="2:18">
      <c r="B5" s="1" t="s">
        <v>0</v>
      </c>
      <c r="D5" s="299" t="s">
        <v>32</v>
      </c>
      <c r="E5" s="299"/>
      <c r="F5" s="299"/>
    </row>
    <row r="6" spans="2:18">
      <c r="B6" s="1" t="s">
        <v>1</v>
      </c>
      <c r="D6" s="16">
        <v>1993</v>
      </c>
      <c r="E6" s="16"/>
      <c r="F6" s="16"/>
    </row>
    <row r="7" spans="2:18" hidden="1" outlineLevel="1">
      <c r="B7" s="1" t="s">
        <v>2</v>
      </c>
      <c r="D7" s="16">
        <v>3</v>
      </c>
      <c r="E7" s="16"/>
      <c r="F7" s="16"/>
    </row>
    <row r="8" spans="2:18" hidden="1" outlineLevel="1">
      <c r="B8" s="1" t="s">
        <v>3</v>
      </c>
      <c r="D8" s="16">
        <v>18</v>
      </c>
      <c r="E8" s="16"/>
      <c r="F8" s="16"/>
    </row>
    <row r="9" spans="2:18" ht="31.5" hidden="1" outlineLevel="1">
      <c r="B9" s="2" t="s">
        <v>4</v>
      </c>
      <c r="C9" s="47"/>
      <c r="D9" s="16" t="s">
        <v>33</v>
      </c>
      <c r="E9" s="16"/>
      <c r="F9" s="16"/>
    </row>
    <row r="10" spans="2:18" collapsed="1">
      <c r="B10" s="1" t="s">
        <v>5</v>
      </c>
      <c r="D10" s="16" t="s">
        <v>34</v>
      </c>
      <c r="E10" s="16"/>
      <c r="F10" s="16"/>
      <c r="J10" s="10"/>
    </row>
    <row r="11" spans="2:18" hidden="1" outlineLevel="1">
      <c r="B11" s="1" t="s">
        <v>6</v>
      </c>
      <c r="D11" s="16" t="s">
        <v>16</v>
      </c>
      <c r="E11" s="16"/>
      <c r="F11" s="16"/>
    </row>
    <row r="12" spans="2:18" ht="31.5" hidden="1" outlineLevel="1">
      <c r="B12" s="2" t="s">
        <v>7</v>
      </c>
      <c r="C12" s="47"/>
      <c r="D12" s="323" t="s">
        <v>35</v>
      </c>
      <c r="E12" s="323"/>
      <c r="F12" s="16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49111.34</v>
      </c>
      <c r="O15" s="341">
        <v>55035.199999999997</v>
      </c>
      <c r="P15" s="341">
        <f>44909.52*1.09</f>
        <v>48951.376799999998</v>
      </c>
      <c r="Q15" s="341">
        <f>50218.66*1.09</f>
        <v>54738.339400000004</v>
      </c>
      <c r="R15" s="339">
        <f>(N15+O15)/(P15+Q15)*100</f>
        <v>100.44056808788912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11214.985306572273</v>
      </c>
      <c r="H16" s="81">
        <f>($P$15/$P$16*E16)+($Q$15/$Q$16*F16)</f>
        <v>11166.242464814753</v>
      </c>
      <c r="I16" s="82">
        <f>H16-G16</f>
        <v>-48.742841757519273</v>
      </c>
      <c r="J16" s="171"/>
      <c r="K16" s="171"/>
      <c r="L16" s="12"/>
      <c r="M16" s="13"/>
      <c r="N16" s="342">
        <v>9.02</v>
      </c>
      <c r="O16" s="341">
        <v>10.11</v>
      </c>
      <c r="P16" s="342">
        <v>9.02</v>
      </c>
      <c r="Q16" s="341">
        <v>10.11</v>
      </c>
    </row>
    <row r="17" spans="2:17" ht="51">
      <c r="B17" s="102" t="s">
        <v>301</v>
      </c>
      <c r="C17" s="76" t="s">
        <v>299</v>
      </c>
      <c r="D17" s="77" t="s">
        <v>300</v>
      </c>
      <c r="E17" s="192">
        <v>1.1299999999999999</v>
      </c>
      <c r="F17" s="190">
        <v>1.17</v>
      </c>
      <c r="G17" s="80">
        <f t="shared" ref="G17:G27" si="0">($N$15/$N$16*E17)+($O$15/$O$16*F17)</f>
        <v>12521.58804417483</v>
      </c>
      <c r="H17" s="81">
        <f t="shared" ref="H17:H21" si="1">($P$15/$P$16*E17)+($Q$15/$Q$16*F17)</f>
        <v>12467.19352093929</v>
      </c>
      <c r="I17" s="82">
        <f t="shared" ref="I17:I27" si="2">H17-G17</f>
        <v>-54.394523235539964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192">
        <v>0.28000000000000003</v>
      </c>
      <c r="F18" s="190">
        <v>0.27</v>
      </c>
      <c r="G18" s="80">
        <f t="shared" si="0"/>
        <v>2994.3033214682837</v>
      </c>
      <c r="H18" s="81">
        <f t="shared" si="1"/>
        <v>2981.4096953489448</v>
      </c>
      <c r="I18" s="82">
        <f t="shared" si="2"/>
        <v>-12.893626119338933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192">
        <v>0.16</v>
      </c>
      <c r="F19" s="190">
        <v>0.25</v>
      </c>
      <c r="G19" s="80">
        <f t="shared" si="0"/>
        <v>2232.0645799092467</v>
      </c>
      <c r="H19" s="81">
        <f t="shared" si="1"/>
        <v>2221.8863286408268</v>
      </c>
      <c r="I19" s="82">
        <f t="shared" si="2"/>
        <v>-10.178251268419899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192">
        <v>1.1399999999999999</v>
      </c>
      <c r="F20" s="190">
        <v>1.33</v>
      </c>
      <c r="G20" s="80">
        <f t="shared" si="0"/>
        <v>13447.017599706993</v>
      </c>
      <c r="H20" s="81">
        <f t="shared" si="1"/>
        <v>13387.747643074299</v>
      </c>
      <c r="I20" s="82">
        <f t="shared" si="2"/>
        <v>-59.26995663269372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192">
        <v>3.67</v>
      </c>
      <c r="F21" s="190">
        <v>3.33</v>
      </c>
      <c r="G21" s="80">
        <f t="shared" si="0"/>
        <v>38109.429471796931</v>
      </c>
      <c r="H21" s="81">
        <f t="shared" si="1"/>
        <v>37946.565655792932</v>
      </c>
      <c r="I21" s="82">
        <f t="shared" si="2"/>
        <v>-162.86381600399909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192">
        <v>1.94</v>
      </c>
      <c r="F22" s="190">
        <v>2.1</v>
      </c>
      <c r="G22" s="80">
        <v>20443.740000000002</v>
      </c>
      <c r="H22" s="53">
        <v>20755.419999999998</v>
      </c>
      <c r="I22" s="82">
        <f t="shared" si="2"/>
        <v>311.67999999999665</v>
      </c>
      <c r="J22" s="171"/>
      <c r="K22" s="171"/>
      <c r="N22" s="341"/>
      <c r="O22" s="341"/>
      <c r="P22" s="341"/>
      <c r="Q22" s="341"/>
    </row>
    <row r="23" spans="2:17" ht="122.25" customHeight="1">
      <c r="B23" s="102" t="s">
        <v>305</v>
      </c>
      <c r="C23" s="76" t="s">
        <v>299</v>
      </c>
      <c r="D23" s="77" t="s">
        <v>300</v>
      </c>
      <c r="E23" s="192">
        <v>0.22</v>
      </c>
      <c r="F23" s="190">
        <v>0.21</v>
      </c>
      <c r="G23" s="80">
        <f t="shared" si="0"/>
        <v>2341.0019526670048</v>
      </c>
      <c r="H23" s="81">
        <f t="shared" ref="H23" si="3">($P$15/$P$16*E23)+($Q$15/$Q$16*F23)</f>
        <v>2330.9341672866758</v>
      </c>
      <c r="I23" s="82">
        <f t="shared" si="2"/>
        <v>-10.067785380329042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192">
        <v>4.6399999999999997</v>
      </c>
      <c r="F24" s="190">
        <v>4.6399999999999997</v>
      </c>
      <c r="G24" s="80">
        <v>50526.97</v>
      </c>
      <c r="H24" s="130">
        <v>9990</v>
      </c>
      <c r="I24" s="82">
        <f t="shared" si="2"/>
        <v>-40536.97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192">
        <v>0.71</v>
      </c>
      <c r="F25" s="190">
        <v>1.44</v>
      </c>
      <c r="G25" s="80">
        <f t="shared" si="0"/>
        <v>11704.590035266174</v>
      </c>
      <c r="H25" s="81">
        <f t="shared" ref="H25:H27" si="4">($P$15/$P$16*E25)+($Q$15/$Q$16*F25)</f>
        <v>11649.715881476706</v>
      </c>
      <c r="I25" s="82">
        <f t="shared" si="2"/>
        <v>-54.874153789467528</v>
      </c>
      <c r="J25" s="171"/>
      <c r="K25" s="171"/>
      <c r="L25" s="188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192">
        <v>0.25</v>
      </c>
      <c r="F26" s="190">
        <v>0.73</v>
      </c>
      <c r="G26" s="80">
        <f t="shared" si="0"/>
        <v>5335.0362176808976</v>
      </c>
      <c r="H26" s="81">
        <f t="shared" si="4"/>
        <v>5309.1676094582654</v>
      </c>
      <c r="I26" s="82">
        <f t="shared" si="2"/>
        <v>-25.868608222632247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192">
        <v>0.33</v>
      </c>
      <c r="F27" s="190">
        <v>0.18</v>
      </c>
      <c r="G27" s="80">
        <f t="shared" si="0"/>
        <v>2776.6115343417532</v>
      </c>
      <c r="H27" s="81">
        <f t="shared" si="4"/>
        <v>2765.4738702178479</v>
      </c>
      <c r="I27" s="82">
        <f t="shared" si="2"/>
        <v>-11.137664123905324</v>
      </c>
      <c r="J27" s="171"/>
      <c r="K27" s="171"/>
      <c r="N27" s="341"/>
      <c r="O27" s="341"/>
      <c r="P27" s="341"/>
      <c r="Q27" s="341"/>
    </row>
    <row r="28" spans="2:17" ht="16.5" thickBot="1">
      <c r="B28" s="204" t="s">
        <v>278</v>
      </c>
      <c r="C28" s="87"/>
      <c r="D28" s="87"/>
      <c r="E28" s="54">
        <f>SUM(E16:E27)</f>
        <v>15.480000000000002</v>
      </c>
      <c r="F28" s="88">
        <f>SUM(F16:F27)</f>
        <v>16.7</v>
      </c>
      <c r="G28" s="173">
        <f>SUM(G16:G27)</f>
        <v>173647.33806358441</v>
      </c>
      <c r="H28" s="174">
        <f>SUM(H16:H27)</f>
        <v>132971.75683705055</v>
      </c>
      <c r="I28" s="175">
        <f>H28-G28</f>
        <v>-40675.581226533861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186"/>
      <c r="K30" s="186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88"/>
      <c r="K31" s="188"/>
      <c r="L31" s="44"/>
      <c r="M31" s="19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175117.25</v>
      </c>
      <c r="E32" s="296"/>
      <c r="F32" s="295">
        <f>49111.34+55035.2+20443.74</f>
        <v>124590.28</v>
      </c>
      <c r="G32" s="296"/>
      <c r="H32" s="295">
        <f>G24</f>
        <v>50526.97</v>
      </c>
      <c r="I32" s="297"/>
      <c r="J32" s="189"/>
      <c r="K32" s="189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155587.85</v>
      </c>
      <c r="E33" s="296"/>
      <c r="F33" s="295">
        <f>43822.65+49108.57+17570.8</f>
        <v>110502.02</v>
      </c>
      <c r="G33" s="296"/>
      <c r="H33" s="295">
        <v>45085.83</v>
      </c>
      <c r="I33" s="297"/>
      <c r="J33" s="189"/>
      <c r="K33" s="189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132971.75683705055</v>
      </c>
      <c r="E34" s="315"/>
      <c r="F34" s="314">
        <f>H16+H17+H18+H19+H20+H21+H22+H23+H25+H26+H27</f>
        <v>122981.75683705053</v>
      </c>
      <c r="G34" s="315"/>
      <c r="H34" s="314">
        <f>H24</f>
        <v>9990</v>
      </c>
      <c r="I34" s="316"/>
      <c r="J34" s="189"/>
      <c r="K34" s="189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22616.093162949473</v>
      </c>
      <c r="E35" s="318"/>
      <c r="F35" s="319">
        <f>F33-F34</f>
        <v>-12479.736837050528</v>
      </c>
      <c r="G35" s="320"/>
      <c r="H35" s="319">
        <f>H33-H34</f>
        <v>35095.83</v>
      </c>
      <c r="I35" s="321"/>
      <c r="J35" s="189"/>
      <c r="K35" s="189"/>
      <c r="L35" s="5"/>
      <c r="M35" s="5"/>
      <c r="N35" s="341"/>
      <c r="O35" s="341"/>
      <c r="P35" s="341"/>
      <c r="Q35" s="341"/>
    </row>
    <row r="36" spans="2:17" ht="34.5" customHeight="1">
      <c r="B36" s="185" t="s">
        <v>267</v>
      </c>
      <c r="C36" s="185"/>
      <c r="D36" s="131"/>
      <c r="E36" s="322" t="s">
        <v>10</v>
      </c>
      <c r="F36" s="322"/>
      <c r="G36" s="287" t="s">
        <v>11</v>
      </c>
      <c r="H36" s="287"/>
      <c r="I36" s="185"/>
      <c r="J36" s="185"/>
      <c r="K36" s="185"/>
      <c r="L36" s="6"/>
      <c r="M36" s="6"/>
      <c r="N36" s="344"/>
      <c r="O36" s="344"/>
      <c r="P36" s="344"/>
      <c r="Q36" s="344"/>
    </row>
    <row r="37" spans="2:17" ht="11.25" customHeight="1">
      <c r="B37" s="185"/>
      <c r="C37" s="185"/>
      <c r="D37" s="185"/>
      <c r="E37" s="285" t="s">
        <v>12</v>
      </c>
      <c r="F37" s="285"/>
      <c r="G37" s="288"/>
      <c r="H37" s="288"/>
      <c r="I37" s="187"/>
      <c r="J37" s="187"/>
      <c r="K37" s="187"/>
      <c r="L37" s="6"/>
      <c r="M37" s="6"/>
      <c r="N37" s="344"/>
      <c r="O37" s="344"/>
      <c r="P37" s="344"/>
      <c r="Q37" s="344"/>
    </row>
    <row r="38" spans="2:17">
      <c r="B38" s="185" t="s">
        <v>268</v>
      </c>
      <c r="C38" s="185"/>
      <c r="D38" s="185"/>
      <c r="E38" s="286" t="s">
        <v>10</v>
      </c>
      <c r="F38" s="286"/>
      <c r="G38" s="287" t="s">
        <v>312</v>
      </c>
      <c r="H38" s="287"/>
      <c r="I38" s="185"/>
      <c r="J38" s="185"/>
      <c r="K38" s="185"/>
      <c r="L38" s="6"/>
      <c r="M38" s="6"/>
      <c r="N38" s="344"/>
      <c r="O38" s="344"/>
      <c r="P38" s="344"/>
      <c r="Q38" s="344"/>
    </row>
    <row r="39" spans="2:17" ht="9.75" customHeight="1">
      <c r="B39" s="185"/>
      <c r="C39" s="185"/>
      <c r="D39" s="185"/>
      <c r="E39" s="285" t="s">
        <v>12</v>
      </c>
      <c r="F39" s="285"/>
      <c r="G39" s="287"/>
      <c r="H39" s="287"/>
      <c r="I39" s="185"/>
      <c r="J39" s="185"/>
      <c r="K39" s="185"/>
      <c r="N39" s="341"/>
      <c r="O39" s="341"/>
      <c r="P39" s="341"/>
      <c r="Q39" s="341"/>
    </row>
    <row r="40" spans="2:17">
      <c r="B40" s="185" t="s">
        <v>269</v>
      </c>
      <c r="C40" s="185"/>
      <c r="D40" s="185"/>
      <c r="E40" s="286" t="s">
        <v>10</v>
      </c>
      <c r="F40" s="286"/>
      <c r="G40" s="287" t="s">
        <v>313</v>
      </c>
      <c r="H40" s="287"/>
      <c r="I40" s="185"/>
      <c r="J40" s="185"/>
      <c r="K40" s="18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191"/>
      <c r="J41" s="191"/>
      <c r="K41" s="191"/>
      <c r="N41" s="341"/>
      <c r="O41" s="341"/>
      <c r="P41" s="341"/>
      <c r="Q41" s="341"/>
    </row>
    <row r="42" spans="2:17">
      <c r="B42" s="185" t="s">
        <v>270</v>
      </c>
      <c r="C42" s="185"/>
      <c r="D42" s="185"/>
      <c r="E42" s="286" t="s">
        <v>10</v>
      </c>
      <c r="F42" s="286"/>
      <c r="G42" s="287" t="s">
        <v>244</v>
      </c>
      <c r="H42" s="287"/>
      <c r="I42" s="1"/>
    </row>
  </sheetData>
  <mergeCells count="41">
    <mergeCell ref="E41:F41"/>
    <mergeCell ref="E42:F42"/>
    <mergeCell ref="G42:H42"/>
    <mergeCell ref="D33:E33"/>
    <mergeCell ref="F33:G33"/>
    <mergeCell ref="H33:I33"/>
    <mergeCell ref="D34:E34"/>
    <mergeCell ref="F34:G34"/>
    <mergeCell ref="H34:I34"/>
    <mergeCell ref="E38:F38"/>
    <mergeCell ref="G38:H38"/>
    <mergeCell ref="E36:F36"/>
    <mergeCell ref="G36:H36"/>
    <mergeCell ref="E37:F37"/>
    <mergeCell ref="G37:H37"/>
    <mergeCell ref="E40:F40"/>
    <mergeCell ref="B1:I1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G40:H40"/>
    <mergeCell ref="D35:E35"/>
    <mergeCell ref="F35:G35"/>
    <mergeCell ref="H35:I35"/>
    <mergeCell ref="E39:F39"/>
    <mergeCell ref="G39:H39"/>
  </mergeCells>
  <pageMargins left="0.2" right="0.19685039370078741" top="0.32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7.42578125" style="1" customWidth="1"/>
    <col min="3" max="3" width="11.7109375" style="46" customWidth="1"/>
    <col min="4" max="4" width="8.5703125" style="3" customWidth="1"/>
    <col min="5" max="5" width="10.5703125" style="3" customWidth="1"/>
    <col min="6" max="6" width="11.28515625" style="3" customWidth="1"/>
    <col min="7" max="7" width="9.7109375" style="3" customWidth="1"/>
    <col min="8" max="8" width="10.42578125" style="1" customWidth="1"/>
    <col min="9" max="9" width="10.5703125" style="3" customWidth="1"/>
    <col min="10" max="10" width="12.7109375" style="1" customWidth="1"/>
    <col min="11" max="11" width="9.5703125" style="1" bestFit="1" customWidth="1"/>
    <col min="12" max="12" width="13.85546875" style="1" customWidth="1"/>
    <col min="13" max="13" width="11.5703125" style="1" customWidth="1"/>
    <col min="14" max="14" width="15.5703125" style="339" customWidth="1"/>
    <col min="15" max="15" width="12.5703125" style="339" customWidth="1"/>
    <col min="16" max="16" width="12.140625" style="339" customWidth="1"/>
    <col min="17" max="17" width="13.85546875" style="339" customWidth="1"/>
    <col min="18" max="19" width="9.140625" style="339"/>
    <col min="20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4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2.75" customHeight="1"/>
    <row r="5" spans="2:18">
      <c r="B5" s="1" t="s">
        <v>0</v>
      </c>
      <c r="D5" s="299" t="s">
        <v>36</v>
      </c>
      <c r="E5" s="299"/>
      <c r="F5" s="299"/>
    </row>
    <row r="6" spans="2:18">
      <c r="B6" s="1" t="s">
        <v>1</v>
      </c>
      <c r="D6" s="16">
        <v>1959</v>
      </c>
      <c r="E6" s="16"/>
      <c r="F6" s="16"/>
    </row>
    <row r="7" spans="2:18" hidden="1" outlineLevel="1">
      <c r="B7" s="1" t="s">
        <v>2</v>
      </c>
      <c r="D7" s="16">
        <v>2</v>
      </c>
      <c r="E7" s="16"/>
      <c r="F7" s="16"/>
    </row>
    <row r="8" spans="2:18" hidden="1" outlineLevel="1">
      <c r="B8" s="1" t="s">
        <v>3</v>
      </c>
      <c r="D8" s="16">
        <v>15</v>
      </c>
      <c r="E8" s="16"/>
      <c r="F8" s="16"/>
    </row>
    <row r="9" spans="2:18" ht="31.5" hidden="1" outlineLevel="1">
      <c r="B9" s="2" t="s">
        <v>4</v>
      </c>
      <c r="C9" s="47"/>
      <c r="D9" s="16" t="s">
        <v>37</v>
      </c>
      <c r="E9" s="16"/>
      <c r="F9" s="16"/>
    </row>
    <row r="10" spans="2:18" collapsed="1">
      <c r="B10" s="1" t="s">
        <v>5</v>
      </c>
      <c r="D10" s="16" t="s">
        <v>38</v>
      </c>
      <c r="E10" s="16"/>
      <c r="F10" s="16"/>
      <c r="J10" s="10"/>
    </row>
    <row r="11" spans="2:18" hidden="1" outlineLevel="1">
      <c r="B11" s="1" t="s">
        <v>6</v>
      </c>
      <c r="D11" s="16" t="s">
        <v>39</v>
      </c>
      <c r="E11" s="16"/>
      <c r="F11" s="16"/>
    </row>
    <row r="12" spans="2:18" ht="31.5" hidden="1" outlineLevel="1">
      <c r="B12" s="2" t="s">
        <v>7</v>
      </c>
      <c r="C12" s="47"/>
      <c r="D12" s="323" t="s">
        <v>40</v>
      </c>
      <c r="E12" s="323"/>
      <c r="F12" s="16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26636.240000000002</v>
      </c>
      <c r="O15" s="341">
        <v>29849.13</v>
      </c>
      <c r="P15" s="341">
        <f>24418.6*1.09</f>
        <v>26616.274000000001</v>
      </c>
      <c r="Q15" s="341">
        <f>27305.33*1.06</f>
        <v>28943.649800000003</v>
      </c>
      <c r="R15" s="339">
        <f>(N15+O15)/(P15+Q15)*100</f>
        <v>101.66567219086072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6052.2452090793995</v>
      </c>
      <c r="H16" s="81">
        <f>($P$15/$P$16*E16)+($Q$15/$Q$16*F16)</f>
        <v>5956.8896452892805</v>
      </c>
      <c r="I16" s="82">
        <f>H16-G16</f>
        <v>-95.355563790119049</v>
      </c>
      <c r="J16" s="171"/>
      <c r="K16" s="171"/>
      <c r="L16" s="12"/>
      <c r="M16" s="13"/>
      <c r="N16" s="342">
        <v>9.02</v>
      </c>
      <c r="O16" s="341">
        <v>10.210000000000001</v>
      </c>
      <c r="P16" s="342">
        <v>9.02</v>
      </c>
      <c r="Q16" s="341">
        <v>10.210000000000001</v>
      </c>
    </row>
    <row r="17" spans="2:17" ht="51">
      <c r="B17" s="102" t="s">
        <v>301</v>
      </c>
      <c r="C17" s="76" t="s">
        <v>299</v>
      </c>
      <c r="D17" s="77" t="s">
        <v>300</v>
      </c>
      <c r="E17" s="212">
        <v>1.1299999999999999</v>
      </c>
      <c r="F17" s="211">
        <v>1.17</v>
      </c>
      <c r="G17" s="80">
        <f t="shared" ref="G17:G27" si="0">($N$15/$N$16*E17)+($O$15/$O$16*F17)</f>
        <v>6757.4298956286057</v>
      </c>
      <c r="H17" s="81">
        <f t="shared" ref="H17:H21" si="1">($P$15/$P$16*E17)+($Q$15/$Q$16*F17)</f>
        <v>6651.1664341459073</v>
      </c>
      <c r="I17" s="82">
        <f t="shared" ref="I17:I27" si="2">H17-G17</f>
        <v>-106.2634614826984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12">
        <v>0.28000000000000003</v>
      </c>
      <c r="F18" s="211">
        <v>0.27</v>
      </c>
      <c r="G18" s="80">
        <f t="shared" si="0"/>
        <v>1616.1957442922576</v>
      </c>
      <c r="H18" s="81">
        <f t="shared" si="1"/>
        <v>1591.6308392289634</v>
      </c>
      <c r="I18" s="82">
        <f t="shared" si="2"/>
        <v>-24.564905063294191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12">
        <v>0.05</v>
      </c>
      <c r="F19" s="211">
        <v>0.04</v>
      </c>
      <c r="G19" s="80">
        <f t="shared" si="0"/>
        <v>264.59176173961015</v>
      </c>
      <c r="H19" s="81">
        <f t="shared" si="1"/>
        <v>260.93366058709455</v>
      </c>
      <c r="I19" s="82">
        <f t="shared" si="2"/>
        <v>-3.6581011525155986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12">
        <v>1.1399999999999999</v>
      </c>
      <c r="F20" s="211">
        <v>1.33</v>
      </c>
      <c r="G20" s="80">
        <f t="shared" si="0"/>
        <v>7254.7231510127676</v>
      </c>
      <c r="H20" s="81">
        <f t="shared" si="1"/>
        <v>7134.2478547647952</v>
      </c>
      <c r="I20" s="82">
        <f t="shared" si="2"/>
        <v>-120.47529624797244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12">
        <v>3.67</v>
      </c>
      <c r="F21" s="211">
        <v>3.33</v>
      </c>
      <c r="G21" s="80">
        <f t="shared" si="0"/>
        <v>20572.901836662895</v>
      </c>
      <c r="H21" s="81">
        <f t="shared" si="1"/>
        <v>20269.455077024177</v>
      </c>
      <c r="I21" s="82">
        <f t="shared" si="2"/>
        <v>-303.4467596387185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12">
        <v>1.94</v>
      </c>
      <c r="F22" s="211">
        <v>2</v>
      </c>
      <c r="G22" s="80">
        <v>11115.96</v>
      </c>
      <c r="H22" s="53">
        <v>11285.32</v>
      </c>
      <c r="I22" s="82">
        <f t="shared" si="2"/>
        <v>169.36000000000058</v>
      </c>
      <c r="J22" s="171"/>
      <c r="K22" s="171"/>
      <c r="N22" s="341"/>
      <c r="O22" s="341"/>
      <c r="P22" s="341"/>
      <c r="Q22" s="341"/>
    </row>
    <row r="23" spans="2:17" ht="102">
      <c r="B23" s="102" t="s">
        <v>305</v>
      </c>
      <c r="C23" s="76" t="s">
        <v>299</v>
      </c>
      <c r="D23" s="77" t="s">
        <v>300</v>
      </c>
      <c r="E23" s="212">
        <v>0.22</v>
      </c>
      <c r="F23" s="211">
        <v>0.21</v>
      </c>
      <c r="G23" s="80">
        <f t="shared" si="0"/>
        <v>1263.6034010176536</v>
      </c>
      <c r="H23" s="81">
        <f t="shared" ref="H23" si="3">($P$15/$P$16*E23)+($Q$15/$Q$16*F23)</f>
        <v>1244.4924448006498</v>
      </c>
      <c r="I23" s="82">
        <f t="shared" si="2"/>
        <v>-19.110956217003832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12">
        <v>4.6399999999999997</v>
      </c>
      <c r="F24" s="211">
        <v>4.6399999999999997</v>
      </c>
      <c r="G24" s="80">
        <v>27404.03</v>
      </c>
      <c r="H24" s="130">
        <v>8408</v>
      </c>
      <c r="I24" s="82">
        <f t="shared" si="2"/>
        <v>-18996.03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12">
        <v>0.71</v>
      </c>
      <c r="F25" s="211">
        <v>1.44</v>
      </c>
      <c r="G25" s="80">
        <f t="shared" si="0"/>
        <v>6306.511670962992</v>
      </c>
      <c r="H25" s="81">
        <f t="shared" ref="H25:H27" si="4">($P$15/$P$16*E25)+($Q$15/$Q$16*F25)</f>
        <v>6177.232772266223</v>
      </c>
      <c r="I25" s="82">
        <f t="shared" si="2"/>
        <v>-129.27889869676892</v>
      </c>
      <c r="J25" s="171"/>
      <c r="K25" s="171"/>
      <c r="L25" s="20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12">
        <v>0.25</v>
      </c>
      <c r="F26" s="211">
        <v>0.83</v>
      </c>
      <c r="G26" s="80">
        <f t="shared" si="0"/>
        <v>3164.7758410193042</v>
      </c>
      <c r="H26" s="81">
        <f t="shared" si="4"/>
        <v>3090.6133934349828</v>
      </c>
      <c r="I26" s="82">
        <f t="shared" si="2"/>
        <v>-74.162447584321399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103" t="s">
        <v>273</v>
      </c>
      <c r="C27" s="104" t="s">
        <v>303</v>
      </c>
      <c r="D27" s="105" t="s">
        <v>300</v>
      </c>
      <c r="E27" s="64">
        <f>0.42+0.14</f>
        <v>0.56000000000000005</v>
      </c>
      <c r="F27" s="106">
        <v>0.54</v>
      </c>
      <c r="G27" s="107">
        <f t="shared" si="0"/>
        <v>3232.3914885845152</v>
      </c>
      <c r="H27" s="108">
        <f t="shared" si="4"/>
        <v>3183.2616784579268</v>
      </c>
      <c r="I27" s="109">
        <f t="shared" si="2"/>
        <v>-49.129810126588382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15.6</v>
      </c>
      <c r="F28" s="113">
        <f>SUM(F16:F27)</f>
        <v>16.849999999999998</v>
      </c>
      <c r="G28" s="114">
        <f>SUM(G16:G27)</f>
        <v>95005.36</v>
      </c>
      <c r="H28" s="115">
        <f>SUM(H16:H27)</f>
        <v>75253.243799999997</v>
      </c>
      <c r="I28" s="116">
        <f>H28-G28</f>
        <v>-19752.116200000004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08"/>
      <c r="K30" s="208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09"/>
      <c r="K31" s="209"/>
      <c r="L31" s="44"/>
      <c r="M31" s="21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95005.36</v>
      </c>
      <c r="E32" s="296"/>
      <c r="F32" s="295">
        <f>26636.24+29849.13+11115.96</f>
        <v>67601.33</v>
      </c>
      <c r="G32" s="296"/>
      <c r="H32" s="295">
        <f>G24</f>
        <v>27404.03</v>
      </c>
      <c r="I32" s="297"/>
      <c r="J32" s="210"/>
      <c r="K32" s="21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96533</v>
      </c>
      <c r="E33" s="296"/>
      <c r="F33" s="295">
        <f>27022.76+30282.27+11426.28</f>
        <v>68731.31</v>
      </c>
      <c r="G33" s="296"/>
      <c r="H33" s="295">
        <v>27801.69</v>
      </c>
      <c r="I33" s="297"/>
      <c r="J33" s="210"/>
      <c r="K33" s="21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75253.243799999997</v>
      </c>
      <c r="E34" s="315"/>
      <c r="F34" s="314">
        <f>H16+H17+H18+H19+H20+H21+H22+H23+H25+H26+H27</f>
        <v>66845.243799999997</v>
      </c>
      <c r="G34" s="315"/>
      <c r="H34" s="314">
        <f>H24</f>
        <v>8408</v>
      </c>
      <c r="I34" s="316"/>
      <c r="J34" s="210"/>
      <c r="K34" s="21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21279.7562</v>
      </c>
      <c r="E35" s="318"/>
      <c r="F35" s="319">
        <f>F33-F34</f>
        <v>1886.0662000000011</v>
      </c>
      <c r="G35" s="320"/>
      <c r="H35" s="319">
        <f>H33-H34</f>
        <v>19393.689999999999</v>
      </c>
      <c r="I35" s="321"/>
      <c r="J35" s="210"/>
      <c r="K35" s="210"/>
      <c r="L35" s="5"/>
      <c r="M35" s="5"/>
      <c r="N35" s="341"/>
      <c r="O35" s="341"/>
      <c r="P35" s="341"/>
      <c r="Q35" s="341"/>
    </row>
    <row r="36" spans="2:17" ht="34.5" customHeight="1">
      <c r="B36" s="206" t="s">
        <v>267</v>
      </c>
      <c r="C36" s="206"/>
      <c r="D36" s="131"/>
      <c r="E36" s="322" t="s">
        <v>10</v>
      </c>
      <c r="F36" s="322"/>
      <c r="G36" s="287" t="s">
        <v>11</v>
      </c>
      <c r="H36" s="287"/>
      <c r="I36" s="206"/>
      <c r="J36" s="206"/>
      <c r="K36" s="206"/>
      <c r="L36" s="6"/>
      <c r="M36" s="6"/>
      <c r="N36" s="344"/>
      <c r="O36" s="344"/>
      <c r="P36" s="344"/>
      <c r="Q36" s="344"/>
    </row>
    <row r="37" spans="2:17" ht="11.25" customHeight="1">
      <c r="B37" s="206"/>
      <c r="C37" s="206"/>
      <c r="D37" s="206"/>
      <c r="E37" s="285" t="s">
        <v>12</v>
      </c>
      <c r="F37" s="285"/>
      <c r="G37" s="288"/>
      <c r="H37" s="288"/>
      <c r="I37" s="207"/>
      <c r="J37" s="207"/>
      <c r="K37" s="207"/>
      <c r="L37" s="6"/>
      <c r="M37" s="6"/>
      <c r="N37" s="344"/>
      <c r="O37" s="344"/>
      <c r="P37" s="344"/>
      <c r="Q37" s="344"/>
    </row>
    <row r="38" spans="2:17">
      <c r="B38" s="206" t="s">
        <v>268</v>
      </c>
      <c r="C38" s="206"/>
      <c r="D38" s="206"/>
      <c r="E38" s="286" t="s">
        <v>10</v>
      </c>
      <c r="F38" s="286"/>
      <c r="G38" s="287" t="s">
        <v>312</v>
      </c>
      <c r="H38" s="287"/>
      <c r="I38" s="206"/>
      <c r="J38" s="206"/>
      <c r="K38" s="206"/>
      <c r="L38" s="6"/>
      <c r="M38" s="6"/>
      <c r="N38" s="344"/>
      <c r="O38" s="344"/>
      <c r="P38" s="344"/>
      <c r="Q38" s="344"/>
    </row>
    <row r="39" spans="2:17" ht="9.75" customHeight="1">
      <c r="B39" s="206"/>
      <c r="C39" s="206"/>
      <c r="D39" s="206"/>
      <c r="E39" s="285" t="s">
        <v>12</v>
      </c>
      <c r="F39" s="285"/>
      <c r="G39" s="287"/>
      <c r="H39" s="287"/>
      <c r="I39" s="206"/>
      <c r="J39" s="206"/>
      <c r="K39" s="206"/>
      <c r="N39" s="341"/>
      <c r="O39" s="341"/>
      <c r="P39" s="341"/>
      <c r="Q39" s="341"/>
    </row>
    <row r="40" spans="2:17">
      <c r="B40" s="206" t="s">
        <v>269</v>
      </c>
      <c r="C40" s="206"/>
      <c r="D40" s="206"/>
      <c r="E40" s="286" t="s">
        <v>10</v>
      </c>
      <c r="F40" s="286"/>
      <c r="G40" s="287" t="s">
        <v>313</v>
      </c>
      <c r="H40" s="287"/>
      <c r="I40" s="206"/>
      <c r="J40" s="206"/>
      <c r="K40" s="206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13"/>
      <c r="J41" s="213"/>
      <c r="K41" s="213"/>
      <c r="N41" s="341"/>
      <c r="O41" s="341"/>
      <c r="P41" s="341"/>
      <c r="Q41" s="341"/>
    </row>
    <row r="42" spans="2:17">
      <c r="B42" s="206" t="s">
        <v>270</v>
      </c>
      <c r="C42" s="206"/>
      <c r="D42" s="206"/>
      <c r="E42" s="286" t="s">
        <v>10</v>
      </c>
      <c r="F42" s="286"/>
      <c r="G42" s="287" t="s">
        <v>244</v>
      </c>
      <c r="H42" s="287"/>
      <c r="I42" s="1"/>
    </row>
    <row r="43" spans="2:17" ht="8.25" customHeight="1">
      <c r="E43" s="285" t="s">
        <v>12</v>
      </c>
      <c r="F43" s="285"/>
    </row>
  </sheetData>
  <mergeCells count="41">
    <mergeCell ref="E43:F43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E42:F42"/>
    <mergeCell ref="G42:H42"/>
    <mergeCell ref="E36:F36"/>
    <mergeCell ref="G36:H36"/>
    <mergeCell ref="D35:E35"/>
    <mergeCell ref="F35:G35"/>
    <mergeCell ref="H35:I35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3:E33"/>
    <mergeCell ref="F33:G33"/>
    <mergeCell ref="H33:I33"/>
    <mergeCell ref="D34:E34"/>
    <mergeCell ref="F34:G34"/>
    <mergeCell ref="H34:I34"/>
  </mergeCells>
  <pageMargins left="0.41" right="0.19685039370078741" top="0.16" bottom="0.23622047244094491" header="0.53" footer="0.25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5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140625" style="1" customWidth="1"/>
    <col min="3" max="3" width="12.7109375" style="48" customWidth="1"/>
    <col min="4" max="4" width="8.85546875" style="3" customWidth="1"/>
    <col min="5" max="6" width="9.85546875" style="3" customWidth="1"/>
    <col min="7" max="7" width="10" style="3" customWidth="1"/>
    <col min="8" max="8" width="10.28515625" style="1" customWidth="1"/>
    <col min="9" max="9" width="10.85546875" style="3" customWidth="1"/>
    <col min="10" max="10" width="10.7109375" style="1" bestFit="1" customWidth="1"/>
    <col min="11" max="11" width="11.28515625" style="1" customWidth="1"/>
    <col min="12" max="12" width="13.85546875" style="1" customWidth="1"/>
    <col min="13" max="13" width="12.28515625" style="1" customWidth="1"/>
    <col min="14" max="14" width="12" style="339" customWidth="1"/>
    <col min="15" max="15" width="12.85546875" style="339" customWidth="1"/>
    <col min="16" max="16" width="11.28515625" style="339" customWidth="1"/>
    <col min="17" max="17" width="11.7109375" style="339" customWidth="1"/>
    <col min="18" max="19" width="9.140625" style="339"/>
    <col min="20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4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2.75" customHeight="1"/>
    <row r="5" spans="2:18">
      <c r="B5" s="1" t="s">
        <v>0</v>
      </c>
      <c r="D5" s="299" t="s">
        <v>41</v>
      </c>
      <c r="E5" s="299"/>
      <c r="F5" s="299"/>
    </row>
    <row r="6" spans="2:18">
      <c r="B6" s="1" t="s">
        <v>1</v>
      </c>
      <c r="D6" s="16">
        <v>1959</v>
      </c>
      <c r="E6" s="33"/>
      <c r="F6" s="16"/>
    </row>
    <row r="7" spans="2:18" hidden="1" outlineLevel="1">
      <c r="B7" s="1" t="s">
        <v>2</v>
      </c>
      <c r="D7" s="16">
        <v>2</v>
      </c>
      <c r="E7" s="33"/>
      <c r="F7" s="16"/>
    </row>
    <row r="8" spans="2:18" hidden="1" outlineLevel="1">
      <c r="B8" s="1" t="s">
        <v>3</v>
      </c>
      <c r="D8" s="16">
        <v>16</v>
      </c>
      <c r="E8" s="33"/>
      <c r="F8" s="16"/>
    </row>
    <row r="9" spans="2:18" ht="31.5" hidden="1" outlineLevel="1">
      <c r="B9" s="2" t="s">
        <v>4</v>
      </c>
      <c r="C9" s="49"/>
      <c r="D9" s="16" t="s">
        <v>42</v>
      </c>
      <c r="E9" s="33"/>
      <c r="F9" s="16"/>
    </row>
    <row r="10" spans="2:18" collapsed="1">
      <c r="B10" s="1" t="s">
        <v>5</v>
      </c>
      <c r="D10" s="35" t="s">
        <v>247</v>
      </c>
      <c r="E10" s="33"/>
      <c r="F10" s="16"/>
      <c r="J10" s="10"/>
    </row>
    <row r="11" spans="2:18" hidden="1" outlineLevel="1">
      <c r="B11" s="1" t="s">
        <v>6</v>
      </c>
      <c r="D11" s="16" t="s">
        <v>16</v>
      </c>
      <c r="E11" s="33"/>
      <c r="F11" s="16"/>
    </row>
    <row r="12" spans="2:18" ht="31.5" hidden="1" outlineLevel="1">
      <c r="B12" s="2" t="s">
        <v>7</v>
      </c>
      <c r="C12" s="49"/>
      <c r="D12" s="323" t="s">
        <v>43</v>
      </c>
      <c r="E12" s="323"/>
      <c r="F12" s="16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27837.360000000001</v>
      </c>
      <c r="O15" s="341">
        <v>31231.49</v>
      </c>
      <c r="P15" s="341">
        <v>27311.08</v>
      </c>
      <c r="Q15" s="341">
        <v>30539.759999999998</v>
      </c>
      <c r="R15" s="339">
        <f>(N15+O15)/(P15+Q15)*100</f>
        <v>102.10543183124049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6702.0915123932227</v>
      </c>
      <c r="H16" s="81">
        <f>($P$15/$P$16*E16)+($Q$15/$Q$16*F16)</f>
        <v>6564.3645902717317</v>
      </c>
      <c r="I16" s="82">
        <f>H16-G16</f>
        <v>-137.72692212149104</v>
      </c>
      <c r="J16" s="171"/>
      <c r="K16" s="171"/>
      <c r="L16" s="12"/>
      <c r="M16" s="13"/>
      <c r="N16" s="342">
        <v>8.51</v>
      </c>
      <c r="O16" s="341">
        <v>9.65</v>
      </c>
      <c r="P16" s="342">
        <v>8.51</v>
      </c>
      <c r="Q16" s="341">
        <v>9.65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1.1299999999999999</v>
      </c>
      <c r="F17" s="221">
        <v>1.17</v>
      </c>
      <c r="G17" s="80">
        <f t="shared" ref="G17:G27" si="0">($N$15/$N$16*E17)+($O$15/$O$16*F17)</f>
        <v>7482.9985887130651</v>
      </c>
      <c r="H17" s="81">
        <f t="shared" ref="H17:H21" si="1">($P$15/$P$16*E17)+($Q$15/$Q$16*F17)</f>
        <v>7329.2487381745341</v>
      </c>
      <c r="I17" s="82">
        <f t="shared" ref="I17:I27" si="2">H17-G17</f>
        <v>-153.74985053853106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1789.7522730709986</v>
      </c>
      <c r="H18" s="81">
        <f t="shared" si="1"/>
        <v>1753.0822587507537</v>
      </c>
      <c r="I18" s="82">
        <f t="shared" si="2"/>
        <v>-36.670014320244945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0.04</v>
      </c>
      <c r="F19" s="221">
        <v>0.04</v>
      </c>
      <c r="G19" s="80">
        <f t="shared" si="0"/>
        <v>260.30235877328107</v>
      </c>
      <c r="H19" s="81">
        <f t="shared" si="1"/>
        <v>254.96138263426752</v>
      </c>
      <c r="I19" s="82">
        <f t="shared" si="2"/>
        <v>-5.3409761390135486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8033.5377535359194</v>
      </c>
      <c r="H20" s="81">
        <f t="shared" si="1"/>
        <v>7867.7003791698889</v>
      </c>
      <c r="I20" s="82">
        <f t="shared" si="2"/>
        <v>-165.83737436603042</v>
      </c>
      <c r="J20" s="171"/>
      <c r="K20" s="171"/>
      <c r="N20" s="341"/>
      <c r="O20" s="341"/>
      <c r="P20" s="341"/>
      <c r="Q20" s="341"/>
    </row>
    <row r="21" spans="2:17" ht="153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3.15</v>
      </c>
      <c r="G21" s="80">
        <f t="shared" si="0"/>
        <v>22199.801023666154</v>
      </c>
      <c r="H21" s="81">
        <f t="shared" si="1"/>
        <v>21747.041032859848</v>
      </c>
      <c r="I21" s="82">
        <f t="shared" si="2"/>
        <v>-452.75999080630572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12432.6</v>
      </c>
      <c r="H22" s="53">
        <v>12622.11</v>
      </c>
      <c r="I22" s="82">
        <f t="shared" si="2"/>
        <v>189.51000000000022</v>
      </c>
      <c r="J22" s="171"/>
      <c r="K22" s="171"/>
      <c r="N22" s="341"/>
      <c r="O22" s="341"/>
      <c r="P22" s="341"/>
      <c r="Q22" s="341"/>
    </row>
    <row r="23" spans="2:17" ht="102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1399.2987349110767</v>
      </c>
      <c r="H23" s="81">
        <f t="shared" ref="H23" si="3">($P$15/$P$16*E23)+($Q$15/$Q$16*F23)</f>
        <v>1370.640184799352</v>
      </c>
      <c r="I23" s="82">
        <f t="shared" si="2"/>
        <v>-28.658550111724708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4.5199999999999996</v>
      </c>
      <c r="F24" s="221">
        <v>4.5199999999999996</v>
      </c>
      <c r="G24" s="80">
        <v>29571.06</v>
      </c>
      <c r="H24" s="130">
        <v>1582</v>
      </c>
      <c r="I24" s="82">
        <f t="shared" si="2"/>
        <v>-27989.06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6982.9562671894691</v>
      </c>
      <c r="H25" s="81">
        <f t="shared" ref="H25:H27" si="4">($P$15/$P$16*E25)+($Q$15/$Q$16*F25)</f>
        <v>6835.8261790639472</v>
      </c>
      <c r="I25" s="82">
        <f t="shared" si="2"/>
        <v>-147.13008812552198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3504.0155661672034</v>
      </c>
      <c r="H26" s="81">
        <f t="shared" si="4"/>
        <v>3429.058983433084</v>
      </c>
      <c r="I26" s="82">
        <f t="shared" si="2"/>
        <v>-74.956582734119365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103" t="s">
        <v>273</v>
      </c>
      <c r="C27" s="104" t="s">
        <v>303</v>
      </c>
      <c r="D27" s="105" t="s">
        <v>300</v>
      </c>
      <c r="E27" s="64">
        <v>0.06</v>
      </c>
      <c r="F27" s="106">
        <v>0.16</v>
      </c>
      <c r="G27" s="107">
        <f t="shared" si="0"/>
        <v>714.09592157961072</v>
      </c>
      <c r="H27" s="108">
        <f t="shared" si="4"/>
        <v>698.91627084259301</v>
      </c>
      <c r="I27" s="109">
        <f t="shared" si="2"/>
        <v>-15.17965073701771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14.97</v>
      </c>
      <c r="F28" s="113">
        <f>SUM(F16:F27)</f>
        <v>16.169999999999998</v>
      </c>
      <c r="G28" s="114">
        <f>SUM(G16:G27)</f>
        <v>101072.51000000001</v>
      </c>
      <c r="H28" s="115">
        <f>SUM(H16:H27)</f>
        <v>72054.950000000012</v>
      </c>
      <c r="I28" s="116">
        <f>H28-G28</f>
        <v>-29017.559999999998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101072.51000000001</v>
      </c>
      <c r="E32" s="296"/>
      <c r="F32" s="295">
        <f>27837.36+31231.49+12432.6</f>
        <v>71501.450000000012</v>
      </c>
      <c r="G32" s="296"/>
      <c r="H32" s="295">
        <f>G24</f>
        <v>29571.06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91507.209999999992</v>
      </c>
      <c r="E33" s="296"/>
      <c r="F33" s="295">
        <f>25183.32+28253.85+11318.31</f>
        <v>64755.479999999996</v>
      </c>
      <c r="G33" s="296"/>
      <c r="H33" s="295">
        <v>26751.73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72054.950000000012</v>
      </c>
      <c r="E34" s="315"/>
      <c r="F34" s="314">
        <f>H16+H17+H18+H19+H20+H21+H22+H23+H25+H26+H27</f>
        <v>70472.950000000012</v>
      </c>
      <c r="G34" s="315"/>
      <c r="H34" s="314">
        <f>H24</f>
        <v>1582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19452.259999999984</v>
      </c>
      <c r="E35" s="318"/>
      <c r="F35" s="319">
        <f>F33-F34</f>
        <v>-5717.4700000000157</v>
      </c>
      <c r="G35" s="320"/>
      <c r="H35" s="319">
        <f>H33-H34</f>
        <v>25169.73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9.75" customHeight="1">
      <c r="C43" s="46"/>
      <c r="E43" s="285" t="s">
        <v>12</v>
      </c>
      <c r="F43" s="285"/>
    </row>
    <row r="44" spans="2:17">
      <c r="C44" s="46"/>
    </row>
    <row r="45" spans="2:17">
      <c r="C45" s="46"/>
    </row>
  </sheetData>
  <mergeCells count="41">
    <mergeCell ref="E43:F43"/>
    <mergeCell ref="E40:F40"/>
    <mergeCell ref="G40:H40"/>
    <mergeCell ref="E41:F41"/>
    <mergeCell ref="E42:F42"/>
    <mergeCell ref="G42:H42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3:E33"/>
    <mergeCell ref="F33:G33"/>
    <mergeCell ref="H33:I33"/>
    <mergeCell ref="E36:F36"/>
    <mergeCell ref="G36:H36"/>
    <mergeCell ref="D34:E34"/>
    <mergeCell ref="F34:G34"/>
    <mergeCell ref="H34:I34"/>
    <mergeCell ref="D35:E35"/>
    <mergeCell ref="F35:G35"/>
    <mergeCell ref="H35:I35"/>
    <mergeCell ref="E37:F37"/>
    <mergeCell ref="G37:H37"/>
    <mergeCell ref="E38:F38"/>
    <mergeCell ref="G38:H38"/>
    <mergeCell ref="E39:F39"/>
    <mergeCell ref="G39:H39"/>
  </mergeCells>
  <pageMargins left="0.2" right="0.19685039370078741" top="0.16" bottom="0.23622047244094491" header="0.37" footer="0.25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4"/>
  <sheetViews>
    <sheetView zoomScale="110" zoomScaleNormal="110" workbookViewId="0">
      <pane xSplit="2" topLeftCell="K1" activePane="topRight" state="frozen"/>
      <selection activeCell="A14" sqref="A14"/>
      <selection pane="topRight" activeCell="B1" sqref="B1:I1"/>
    </sheetView>
  </sheetViews>
  <sheetFormatPr defaultColWidth="9.140625" defaultRowHeight="15.75" outlineLevelRow="1"/>
  <cols>
    <col min="1" max="1" width="2.85546875" style="1" customWidth="1"/>
    <col min="2" max="2" width="54.85546875" style="1" customWidth="1"/>
    <col min="3" max="3" width="11.85546875" style="50" customWidth="1"/>
    <col min="4" max="4" width="10" style="3" customWidth="1"/>
    <col min="5" max="5" width="9.28515625" style="3" customWidth="1"/>
    <col min="6" max="6" width="9.7109375" style="3" customWidth="1"/>
    <col min="7" max="7" width="10.42578125" style="3" customWidth="1"/>
    <col min="8" max="8" width="10.28515625" style="1" customWidth="1"/>
    <col min="9" max="9" width="11.5703125" style="3" customWidth="1"/>
    <col min="10" max="10" width="13.7109375" style="1" customWidth="1"/>
    <col min="11" max="11" width="12.5703125" style="1" customWidth="1"/>
    <col min="12" max="12" width="14.7109375" style="1" customWidth="1"/>
    <col min="13" max="13" width="11.140625" style="1" customWidth="1"/>
    <col min="14" max="14" width="14.7109375" style="339" customWidth="1"/>
    <col min="15" max="15" width="12.7109375" style="339" customWidth="1"/>
    <col min="16" max="16" width="14.140625" style="339" customWidth="1"/>
    <col min="17" max="17" width="17.42578125" style="339" customWidth="1"/>
    <col min="18" max="18" width="9.140625" style="339"/>
    <col min="19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3.25" customHeight="1">
      <c r="B3" s="313"/>
      <c r="C3" s="313"/>
      <c r="D3" s="313"/>
      <c r="E3" s="313"/>
      <c r="F3" s="313"/>
      <c r="G3" s="313"/>
      <c r="H3" s="313"/>
      <c r="I3" s="313"/>
      <c r="J3" s="99"/>
    </row>
    <row r="5" spans="2:18">
      <c r="B5" s="1" t="s">
        <v>0</v>
      </c>
      <c r="D5" s="299" t="s">
        <v>44</v>
      </c>
      <c r="E5" s="299"/>
      <c r="F5" s="299"/>
    </row>
    <row r="6" spans="2:18">
      <c r="B6" s="1" t="s">
        <v>1</v>
      </c>
      <c r="D6" s="16">
        <v>1958</v>
      </c>
      <c r="E6" s="16"/>
      <c r="F6" s="16"/>
    </row>
    <row r="7" spans="2:18" hidden="1" outlineLevel="1">
      <c r="B7" s="1" t="s">
        <v>2</v>
      </c>
      <c r="D7" s="16">
        <v>2</v>
      </c>
      <c r="E7" s="16"/>
      <c r="F7" s="16"/>
    </row>
    <row r="8" spans="2:18" hidden="1" outlineLevel="1">
      <c r="B8" s="1" t="s">
        <v>3</v>
      </c>
      <c r="D8" s="16">
        <v>16</v>
      </c>
      <c r="E8" s="16"/>
      <c r="F8" s="16"/>
    </row>
    <row r="9" spans="2:18" ht="31.5" hidden="1" outlineLevel="1">
      <c r="B9" s="2" t="s">
        <v>4</v>
      </c>
      <c r="C9" s="51"/>
      <c r="D9" s="16" t="s">
        <v>45</v>
      </c>
      <c r="E9" s="16"/>
      <c r="F9" s="16"/>
    </row>
    <row r="10" spans="2:18" collapsed="1">
      <c r="B10" s="1" t="s">
        <v>5</v>
      </c>
      <c r="D10" s="16" t="s">
        <v>46</v>
      </c>
      <c r="E10" s="16"/>
      <c r="F10" s="16"/>
      <c r="J10" s="10"/>
    </row>
    <row r="11" spans="2:18" hidden="1" outlineLevel="1">
      <c r="B11" s="1" t="s">
        <v>6</v>
      </c>
      <c r="D11" s="16" t="s">
        <v>16</v>
      </c>
      <c r="E11" s="16"/>
      <c r="F11" s="16"/>
    </row>
    <row r="12" spans="2:18" ht="31.5" hidden="1" customHeight="1" outlineLevel="1">
      <c r="B12" s="2" t="s">
        <v>7</v>
      </c>
      <c r="C12" s="51"/>
      <c r="D12" s="323" t="s">
        <v>47</v>
      </c>
      <c r="E12" s="323"/>
      <c r="F12" s="16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27967.89</v>
      </c>
      <c r="O15" s="341">
        <v>31377.93</v>
      </c>
      <c r="P15" s="341">
        <v>26971.09</v>
      </c>
      <c r="Q15" s="341">
        <v>30159.57</v>
      </c>
      <c r="R15" s="339">
        <f>(N15+O15)/(P15+Q15)*100</f>
        <v>103.8773576219844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6733.5172080393077</v>
      </c>
      <c r="H16" s="81">
        <f>($P$15/$P$16*E16)+($Q$15/$Q$16*F16)</f>
        <v>6482.6454268370653</v>
      </c>
      <c r="I16" s="82">
        <f>H16-G16</f>
        <v>-250.87178120224235</v>
      </c>
      <c r="J16" s="171"/>
      <c r="K16" s="171"/>
      <c r="L16" s="12"/>
      <c r="M16" s="13"/>
      <c r="N16" s="342">
        <v>8.51</v>
      </c>
      <c r="O16" s="341">
        <v>9.65</v>
      </c>
      <c r="P16" s="342">
        <v>8.51</v>
      </c>
      <c r="Q16" s="341">
        <v>9.65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1.1299999999999999</v>
      </c>
      <c r="F17" s="221">
        <v>1.17</v>
      </c>
      <c r="G17" s="80">
        <f t="shared" ref="G17:G27" si="0">($N$15/$N$16*E17)+($O$15/$O$16*F17)</f>
        <v>7518.0859109490202</v>
      </c>
      <c r="H17" s="81">
        <f t="shared" ref="H17:H21" si="1">($P$15/$P$16*E17)+($Q$15/$Q$16*F17)</f>
        <v>7238.0076048781375</v>
      </c>
      <c r="I17" s="82">
        <f t="shared" ref="I17:I27" si="2">H17-G17</f>
        <v>-280.07830607088272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1798.144317152025</v>
      </c>
      <c r="H18" s="81">
        <f t="shared" si="1"/>
        <v>1731.2583083479967</v>
      </c>
      <c r="I18" s="82">
        <f t="shared" si="2"/>
        <v>-66.886008804028279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0.04</v>
      </c>
      <c r="F19" s="221">
        <v>0.02</v>
      </c>
      <c r="G19" s="80">
        <f t="shared" si="0"/>
        <v>196.49092169529297</v>
      </c>
      <c r="H19" s="81">
        <f t="shared" si="1"/>
        <v>189.28051185134223</v>
      </c>
      <c r="I19" s="82">
        <f t="shared" si="2"/>
        <v>-7.2104098439507425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8071.2064807510815</v>
      </c>
      <c r="H20" s="81">
        <f t="shared" si="1"/>
        <v>7769.7560592658447</v>
      </c>
      <c r="I20" s="82">
        <f t="shared" si="2"/>
        <v>-301.4504214852368</v>
      </c>
      <c r="J20" s="171"/>
      <c r="K20" s="171"/>
      <c r="N20" s="341"/>
      <c r="O20" s="341"/>
      <c r="P20" s="341"/>
      <c r="Q20" s="341"/>
    </row>
    <row r="21" spans="2:17" ht="149.25" customHeight="1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3.15</v>
      </c>
      <c r="G21" s="80">
        <f t="shared" si="0"/>
        <v>22303.894702848826</v>
      </c>
      <c r="H21" s="81">
        <f t="shared" si="1"/>
        <v>21476.31437686842</v>
      </c>
      <c r="I21" s="82">
        <f t="shared" si="2"/>
        <v>-827.58032598040518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12294</v>
      </c>
      <c r="H22" s="53">
        <v>12464.98</v>
      </c>
      <c r="I22" s="82">
        <f t="shared" si="2"/>
        <v>170.97999999999956</v>
      </c>
      <c r="J22" s="171"/>
      <c r="K22" s="171"/>
      <c r="N22" s="341"/>
      <c r="O22" s="341"/>
      <c r="P22" s="341"/>
      <c r="Q22" s="341"/>
    </row>
    <row r="23" spans="2:17" ht="102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1405.8599656971683</v>
      </c>
      <c r="H23" s="81">
        <f t="shared" ref="H23" si="3">($P$15/$P$16*E23)+($Q$15/$Q$16*F23)</f>
        <v>1353.5772193274602</v>
      </c>
      <c r="I23" s="82">
        <f t="shared" si="2"/>
        <v>-52.282746369708093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4.5199999999999996</v>
      </c>
      <c r="F24" s="221">
        <v>4.5199999999999996</v>
      </c>
      <c r="G24" s="80">
        <v>29709.72</v>
      </c>
      <c r="H24" s="130">
        <v>7777</v>
      </c>
      <c r="I24" s="82">
        <f t="shared" si="2"/>
        <v>-21932.720000000001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7015.6987357391181</v>
      </c>
      <c r="H25" s="81">
        <f t="shared" ref="H25:H27" si="4">($P$15/$P$16*E25)+($Q$15/$Q$16*F25)</f>
        <v>6750.7273703354185</v>
      </c>
      <c r="I25" s="82">
        <f t="shared" si="2"/>
        <v>-264.97136540369956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3520.4455300256327</v>
      </c>
      <c r="H26" s="81">
        <f t="shared" si="4"/>
        <v>3386.3707482936866</v>
      </c>
      <c r="I26" s="82">
        <f t="shared" si="2"/>
        <v>-134.07478173194613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103" t="s">
        <v>273</v>
      </c>
      <c r="C27" s="104" t="s">
        <v>303</v>
      </c>
      <c r="D27" s="105" t="s">
        <v>300</v>
      </c>
      <c r="E27" s="64">
        <v>0.06</v>
      </c>
      <c r="F27" s="106">
        <v>0.18</v>
      </c>
      <c r="G27" s="107">
        <f t="shared" si="0"/>
        <v>782.47622710252494</v>
      </c>
      <c r="H27" s="108">
        <f t="shared" si="4"/>
        <v>752.72237399462995</v>
      </c>
      <c r="I27" s="109">
        <f t="shared" si="2"/>
        <v>-29.753853107894997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14.97</v>
      </c>
      <c r="F28" s="113">
        <f>SUM(F16:F27)</f>
        <v>16.170000000000002</v>
      </c>
      <c r="G28" s="114">
        <f>SUM(G16:G27)</f>
        <v>101349.54000000001</v>
      </c>
      <c r="H28" s="115">
        <f>SUM(H16:H27)</f>
        <v>77372.639999999999</v>
      </c>
      <c r="I28" s="116">
        <f>H28-G28</f>
        <v>-23976.900000000009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101349.54000000001</v>
      </c>
      <c r="E32" s="296"/>
      <c r="F32" s="295">
        <f>27967.89+31377.93+12294</f>
        <v>71639.820000000007</v>
      </c>
      <c r="G32" s="296"/>
      <c r="H32" s="295">
        <f>G24</f>
        <v>29709.72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85721.51</v>
      </c>
      <c r="E33" s="296"/>
      <c r="F33" s="295">
        <f>23608.59+26487.12+10546.88</f>
        <v>60642.59</v>
      </c>
      <c r="G33" s="296"/>
      <c r="H33" s="295">
        <v>25078.92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77372.639999999999</v>
      </c>
      <c r="E34" s="315"/>
      <c r="F34" s="314">
        <f>H16+H17+H18+H19+H20+H21+H22+H23+H25+H26+H27</f>
        <v>69595.64</v>
      </c>
      <c r="G34" s="315"/>
      <c r="H34" s="314">
        <f>H24</f>
        <v>7777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8348.8699999999953</v>
      </c>
      <c r="E35" s="318"/>
      <c r="F35" s="319">
        <f>F33-F34</f>
        <v>-8953.0500000000029</v>
      </c>
      <c r="G35" s="320"/>
      <c r="H35" s="319">
        <f>H33-H34</f>
        <v>17301.919999999998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11.25" customHeight="1">
      <c r="C43" s="46"/>
      <c r="E43" s="285" t="s">
        <v>12</v>
      </c>
      <c r="F43" s="285"/>
    </row>
    <row r="44" spans="2:17">
      <c r="C44" s="46"/>
    </row>
  </sheetData>
  <mergeCells count="41">
    <mergeCell ref="B30:I30"/>
    <mergeCell ref="D31:E31"/>
    <mergeCell ref="E43:F43"/>
    <mergeCell ref="E41:F41"/>
    <mergeCell ref="E42:F42"/>
    <mergeCell ref="G42:H4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39:F39"/>
    <mergeCell ref="G39:H39"/>
    <mergeCell ref="E40:F40"/>
    <mergeCell ref="G40:H40"/>
    <mergeCell ref="F31:G31"/>
    <mergeCell ref="H31:I31"/>
    <mergeCell ref="D32:E32"/>
    <mergeCell ref="F32:G32"/>
    <mergeCell ref="E38:F38"/>
    <mergeCell ref="G38:H38"/>
    <mergeCell ref="E37:F37"/>
    <mergeCell ref="G37:H37"/>
    <mergeCell ref="E36:F36"/>
    <mergeCell ref="G36:H36"/>
  </mergeCells>
  <pageMargins left="0.36" right="0.19685039370078741" top="0.42" bottom="0.23622047244094491" header="0.42" footer="0.25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8.140625" style="1" customWidth="1"/>
    <col min="3" max="3" width="12.7109375" style="48" customWidth="1"/>
    <col min="4" max="4" width="10.140625" style="3" customWidth="1"/>
    <col min="5" max="5" width="9.7109375" style="3" customWidth="1"/>
    <col min="6" max="6" width="10.42578125" style="3" customWidth="1"/>
    <col min="7" max="7" width="9.7109375" style="3" customWidth="1"/>
    <col min="8" max="8" width="10.28515625" style="1" customWidth="1"/>
    <col min="9" max="9" width="11.5703125" style="3" customWidth="1"/>
    <col min="10" max="10" width="10.140625" style="1" customWidth="1"/>
    <col min="11" max="11" width="9.140625" style="1"/>
    <col min="12" max="12" width="13.85546875" style="1" customWidth="1"/>
    <col min="13" max="13" width="9.140625" style="1"/>
    <col min="14" max="14" width="12.140625" style="339" customWidth="1"/>
    <col min="15" max="15" width="11.85546875" style="339" customWidth="1"/>
    <col min="16" max="17" width="12.5703125" style="339" customWidth="1"/>
    <col min="18" max="18" width="9.140625" style="339"/>
    <col min="19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4" customHeight="1">
      <c r="B3" s="313"/>
      <c r="C3" s="313"/>
      <c r="D3" s="313"/>
      <c r="E3" s="313"/>
      <c r="F3" s="313"/>
      <c r="G3" s="313"/>
      <c r="H3" s="313"/>
      <c r="I3" s="313"/>
      <c r="J3" s="99"/>
    </row>
    <row r="5" spans="2:18">
      <c r="B5" s="1" t="s">
        <v>0</v>
      </c>
      <c r="D5" s="299" t="s">
        <v>48</v>
      </c>
      <c r="E5" s="299"/>
      <c r="F5" s="299"/>
    </row>
    <row r="6" spans="2:18">
      <c r="B6" s="1" t="s">
        <v>1</v>
      </c>
      <c r="D6" s="16">
        <v>1987</v>
      </c>
      <c r="E6" s="16"/>
      <c r="F6" s="16"/>
    </row>
    <row r="7" spans="2:18" hidden="1" outlineLevel="1">
      <c r="B7" s="1" t="s">
        <v>2</v>
      </c>
      <c r="D7" s="16">
        <v>3</v>
      </c>
      <c r="E7" s="16"/>
      <c r="F7" s="16"/>
    </row>
    <row r="8" spans="2:18" hidden="1" outlineLevel="1">
      <c r="B8" s="1" t="s">
        <v>3</v>
      </c>
      <c r="D8" s="16">
        <v>18</v>
      </c>
      <c r="E8" s="16"/>
      <c r="F8" s="16"/>
    </row>
    <row r="9" spans="2:18" ht="31.5" hidden="1" outlineLevel="1">
      <c r="B9" s="2" t="s">
        <v>4</v>
      </c>
      <c r="C9" s="49"/>
      <c r="D9" s="16" t="s">
        <v>49</v>
      </c>
      <c r="E9" s="16"/>
      <c r="F9" s="16"/>
    </row>
    <row r="10" spans="2:18" collapsed="1">
      <c r="B10" s="1" t="s">
        <v>5</v>
      </c>
      <c r="D10" s="16" t="s">
        <v>50</v>
      </c>
      <c r="E10" s="16"/>
      <c r="F10" s="16"/>
      <c r="J10" s="10"/>
    </row>
    <row r="11" spans="2:18" hidden="1" outlineLevel="1">
      <c r="B11" s="1" t="s">
        <v>6</v>
      </c>
      <c r="D11" s="16" t="s">
        <v>16</v>
      </c>
      <c r="E11" s="16"/>
      <c r="F11" s="16"/>
    </row>
    <row r="12" spans="2:18" ht="31.5" hidden="1" outlineLevel="1">
      <c r="B12" s="2" t="s">
        <v>7</v>
      </c>
      <c r="C12" s="49"/>
      <c r="D12" s="323" t="s">
        <v>51</v>
      </c>
      <c r="E12" s="323"/>
      <c r="F12" s="16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55574.19</v>
      </c>
      <c r="O15" s="341">
        <v>61483.66</v>
      </c>
      <c r="P15" s="341">
        <f>51059.84*1.07</f>
        <v>54634.0288</v>
      </c>
      <c r="Q15" s="341">
        <f>57096.07*1.07</f>
        <v>61092.794900000001</v>
      </c>
      <c r="R15" s="339">
        <f>(N15+O15)/(P15+Q15)*100</f>
        <v>101.15014502035451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12883.73444331984</v>
      </c>
      <c r="H16" s="81">
        <f>($P$15/$P$16*E16)+($Q$15/$Q$16*F16)</f>
        <v>12734.778528441297</v>
      </c>
      <c r="I16" s="82">
        <f>H16-G16</f>
        <v>-148.9559148785429</v>
      </c>
      <c r="J16" s="171"/>
      <c r="K16" s="171"/>
      <c r="L16" s="12"/>
      <c r="M16" s="13"/>
      <c r="N16" s="342">
        <v>8.84</v>
      </c>
      <c r="O16" s="341">
        <v>9.8800000000000008</v>
      </c>
      <c r="P16" s="342">
        <v>8.84</v>
      </c>
      <c r="Q16" s="341">
        <v>9.8800000000000008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1.1299999999999999</v>
      </c>
      <c r="F17" s="221">
        <v>1.17</v>
      </c>
      <c r="G17" s="80">
        <f t="shared" ref="G17:G28" si="0">($N$15/$N$16*E17)+($O$15/$O$16*F17)</f>
        <v>14384.900313765182</v>
      </c>
      <c r="H17" s="81">
        <f t="shared" ref="H17:H21" si="1">($P$15/$P$16*E17)+($Q$15/$Q$16*F17)</f>
        <v>14218.434680263155</v>
      </c>
      <c r="I17" s="82">
        <f t="shared" ref="I17:I28" si="2">H17-G17</f>
        <v>-166.46563350202632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3440.4899392712555</v>
      </c>
      <c r="H18" s="81">
        <f t="shared" si="1"/>
        <v>3400.0295415991905</v>
      </c>
      <c r="I18" s="82">
        <f t="shared" si="2"/>
        <v>-40.460397672065028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0.11</v>
      </c>
      <c r="F19" s="221">
        <v>0.21</v>
      </c>
      <c r="G19" s="80">
        <f t="shared" si="0"/>
        <v>1998.3729655870447</v>
      </c>
      <c r="H19" s="81">
        <f t="shared" si="1"/>
        <v>1978.3662656882589</v>
      </c>
      <c r="I19" s="82">
        <f t="shared" si="2"/>
        <v>-20.006699898785882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15443.453846153847</v>
      </c>
      <c r="H20" s="81">
        <f t="shared" si="1"/>
        <v>15269.594882692305</v>
      </c>
      <c r="I20" s="82">
        <f t="shared" si="2"/>
        <v>-173.85896346154186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3.33</v>
      </c>
      <c r="G21" s="80">
        <f t="shared" si="0"/>
        <v>43794.821751012147</v>
      </c>
      <c r="H21" s="81">
        <f t="shared" si="1"/>
        <v>43272.767013056677</v>
      </c>
      <c r="I21" s="82">
        <f t="shared" si="2"/>
        <v>-522.05473795547005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23243.4</v>
      </c>
      <c r="H22" s="53">
        <v>23597.85</v>
      </c>
      <c r="I22" s="82">
        <f t="shared" si="2"/>
        <v>354.44999999999709</v>
      </c>
      <c r="J22" s="171"/>
      <c r="K22" s="171"/>
      <c r="N22" s="341"/>
      <c r="O22" s="341"/>
      <c r="P22" s="341"/>
      <c r="Q22" s="341"/>
    </row>
    <row r="23" spans="2:17" ht="112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2689.9070040485831</v>
      </c>
      <c r="H23" s="81">
        <f t="shared" ref="H23" si="3">($P$15/$P$16*E23)+($Q$15/$Q$16*F23)</f>
        <v>2658.2014656882588</v>
      </c>
      <c r="I23" s="82">
        <f t="shared" si="2"/>
        <v>-31.705538360324226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1.39</v>
      </c>
      <c r="F24" s="221">
        <v>0</v>
      </c>
      <c r="G24" s="80">
        <v>8738.48</v>
      </c>
      <c r="H24" s="130">
        <v>9903</v>
      </c>
      <c r="I24" s="82">
        <f t="shared" si="2"/>
        <v>1164.5200000000004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f>1.44-0.18</f>
        <v>1.26</v>
      </c>
      <c r="G25" s="80">
        <f t="shared" si="0"/>
        <v>12304.57144736842</v>
      </c>
      <c r="H25" s="81">
        <f t="shared" ref="H25:H28" si="4">($P$15/$P$16*E25)+($Q$15/$Q$16*F25)</f>
        <v>12179.213594129553</v>
      </c>
      <c r="I25" s="82">
        <f t="shared" si="2"/>
        <v>-125.35785323886739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6736.7935526315796</v>
      </c>
      <c r="H26" s="81">
        <f t="shared" si="4"/>
        <v>6677.3694501012142</v>
      </c>
      <c r="I26" s="82">
        <f t="shared" si="2"/>
        <v>-59.424102530365417</v>
      </c>
      <c r="J26" s="171"/>
      <c r="K26" s="171"/>
      <c r="L26" s="85"/>
      <c r="M26" s="10"/>
      <c r="N26" s="345"/>
      <c r="O26" s="345"/>
      <c r="P26" s="341"/>
      <c r="Q26" s="341"/>
    </row>
    <row r="27" spans="2:17" ht="24">
      <c r="B27" s="84" t="s">
        <v>279</v>
      </c>
      <c r="C27" s="76" t="s">
        <v>302</v>
      </c>
      <c r="D27" s="77" t="s">
        <v>300</v>
      </c>
      <c r="E27" s="223">
        <v>0.18</v>
      </c>
      <c r="F27" s="221">
        <v>0.18</v>
      </c>
      <c r="G27" s="80">
        <f t="shared" ref="G27" si="5">($N$15/$N$16*E27)+($O$15/$O$16*F27)</f>
        <v>2251.7488056680163</v>
      </c>
      <c r="H27" s="81">
        <f t="shared" ref="H27" si="6">($P$15/$P$16*E27)+($Q$15/$Q$16*F27)</f>
        <v>2225.4842277327934</v>
      </c>
      <c r="I27" s="82">
        <f t="shared" ref="I27" si="7">H27-G27</f>
        <v>-26.26457793522286</v>
      </c>
      <c r="J27" s="171"/>
      <c r="K27" s="171"/>
      <c r="L27" s="85"/>
      <c r="M27" s="10"/>
      <c r="N27" s="345"/>
      <c r="O27" s="345"/>
      <c r="P27" s="341"/>
      <c r="Q27" s="341"/>
    </row>
    <row r="28" spans="2:17" ht="16.5" thickBot="1">
      <c r="B28" s="235" t="s">
        <v>273</v>
      </c>
      <c r="C28" s="236" t="s">
        <v>303</v>
      </c>
      <c r="D28" s="105" t="s">
        <v>300</v>
      </c>
      <c r="E28" s="59">
        <v>0.14000000000000001</v>
      </c>
      <c r="F28" s="237">
        <v>0.04</v>
      </c>
      <c r="G28" s="238">
        <f t="shared" si="0"/>
        <v>1129.0559311740892</v>
      </c>
      <c r="H28" s="108">
        <f t="shared" si="4"/>
        <v>1112.5840506072875</v>
      </c>
      <c r="I28" s="109">
        <f t="shared" si="2"/>
        <v>-16.471880566801701</v>
      </c>
      <c r="J28" s="171"/>
      <c r="K28" s="171"/>
      <c r="N28" s="341"/>
      <c r="O28" s="341"/>
      <c r="P28" s="341"/>
      <c r="Q28" s="341"/>
    </row>
    <row r="29" spans="2:17" ht="16.5" thickBot="1">
      <c r="B29" s="234" t="s">
        <v>278</v>
      </c>
      <c r="C29" s="111"/>
      <c r="D29" s="111"/>
      <c r="E29" s="112">
        <f>SUM(E16:E28)</f>
        <v>12.170000000000002</v>
      </c>
      <c r="F29" s="113">
        <f>SUM(F16:F28)</f>
        <v>11.879999999999999</v>
      </c>
      <c r="G29" s="114">
        <f>SUM(G16:G28)</f>
        <v>149039.72999999998</v>
      </c>
      <c r="H29" s="115">
        <f>SUM(H16:H28)</f>
        <v>149227.67369999998</v>
      </c>
      <c r="I29" s="116">
        <f>H29-G29</f>
        <v>187.94370000000345</v>
      </c>
      <c r="J29" s="172"/>
      <c r="K29" s="172"/>
      <c r="N29" s="341"/>
      <c r="O29" s="341"/>
      <c r="P29" s="341"/>
      <c r="Q29" s="341"/>
    </row>
    <row r="30" spans="2:17">
      <c r="B30" s="10"/>
      <c r="C30" s="10"/>
      <c r="D30" s="10"/>
      <c r="E30" s="46"/>
      <c r="F30" s="46"/>
      <c r="G30" s="46"/>
      <c r="H30" s="46"/>
      <c r="J30" s="3"/>
      <c r="K30" s="3"/>
      <c r="N30" s="341"/>
      <c r="O30" s="341"/>
      <c r="P30" s="341"/>
      <c r="Q30" s="341"/>
    </row>
    <row r="31" spans="2:17" ht="16.5" thickBot="1">
      <c r="B31" s="289" t="s">
        <v>308</v>
      </c>
      <c r="C31" s="289"/>
      <c r="D31" s="289"/>
      <c r="E31" s="289"/>
      <c r="F31" s="289"/>
      <c r="G31" s="289"/>
      <c r="H31" s="289"/>
      <c r="I31" s="289"/>
      <c r="J31" s="217"/>
      <c r="K31" s="217"/>
      <c r="N31" s="341"/>
      <c r="O31" s="341"/>
      <c r="P31" s="341"/>
      <c r="Q31" s="341"/>
    </row>
    <row r="32" spans="2:17" ht="44.25" customHeight="1">
      <c r="B32" s="56"/>
      <c r="C32" s="91"/>
      <c r="D32" s="290" t="s">
        <v>309</v>
      </c>
      <c r="E32" s="291"/>
      <c r="F32" s="292" t="s">
        <v>8</v>
      </c>
      <c r="G32" s="293"/>
      <c r="H32" s="292" t="s">
        <v>9</v>
      </c>
      <c r="I32" s="294"/>
      <c r="J32" s="219"/>
      <c r="K32" s="219"/>
      <c r="L32" s="44"/>
      <c r="M32" s="224"/>
      <c r="N32" s="345"/>
      <c r="O32" s="345"/>
      <c r="P32" s="345"/>
      <c r="Q32" s="345"/>
    </row>
    <row r="33" spans="2:17">
      <c r="B33" s="57" t="s">
        <v>18</v>
      </c>
      <c r="C33" s="94"/>
      <c r="D33" s="295">
        <f>F33+H33</f>
        <v>149039.73000000001</v>
      </c>
      <c r="E33" s="296"/>
      <c r="F33" s="295">
        <f>55574.19+61483.66+23243.4</f>
        <v>140301.25</v>
      </c>
      <c r="G33" s="296"/>
      <c r="H33" s="295">
        <f>G24</f>
        <v>8738.48</v>
      </c>
      <c r="I33" s="297"/>
      <c r="J33" s="220"/>
      <c r="K33" s="220"/>
      <c r="L33" s="5"/>
      <c r="M33" s="5"/>
      <c r="N33" s="341"/>
      <c r="O33" s="341"/>
      <c r="P33" s="341"/>
      <c r="Q33" s="341"/>
    </row>
    <row r="34" spans="2:17">
      <c r="B34" s="57" t="s">
        <v>19</v>
      </c>
      <c r="C34" s="94"/>
      <c r="D34" s="295">
        <f>F34+H34</f>
        <v>140071.70000000001</v>
      </c>
      <c r="E34" s="296"/>
      <c r="F34" s="295">
        <f>52208.13+57759.67+21894.7</f>
        <v>131862.5</v>
      </c>
      <c r="G34" s="296"/>
      <c r="H34" s="295">
        <v>8209.2000000000007</v>
      </c>
      <c r="I34" s="297"/>
      <c r="J34" s="220"/>
      <c r="K34" s="220"/>
      <c r="L34" s="42"/>
      <c r="M34" s="5"/>
      <c r="N34" s="341"/>
      <c r="O34" s="341"/>
      <c r="P34" s="341"/>
      <c r="Q34" s="341"/>
    </row>
    <row r="35" spans="2:17" ht="16.5" thickBot="1">
      <c r="B35" s="58" t="s">
        <v>277</v>
      </c>
      <c r="C35" s="96"/>
      <c r="D35" s="314">
        <f>F35+H35</f>
        <v>149227.67369999998</v>
      </c>
      <c r="E35" s="315"/>
      <c r="F35" s="314">
        <f>H16+H17+H18+H19+H20+H21+H22+H23+H25+H26+H28+H27</f>
        <v>139324.67369999998</v>
      </c>
      <c r="G35" s="315"/>
      <c r="H35" s="314">
        <f>H24</f>
        <v>9903</v>
      </c>
      <c r="I35" s="316"/>
      <c r="J35" s="220"/>
      <c r="K35" s="220"/>
      <c r="L35" s="5"/>
      <c r="M35" s="5"/>
      <c r="N35" s="341"/>
      <c r="O35" s="341"/>
      <c r="P35" s="341"/>
      <c r="Q35" s="341"/>
    </row>
    <row r="36" spans="2:17" ht="27" thickBot="1">
      <c r="B36" s="60" t="s">
        <v>245</v>
      </c>
      <c r="C36" s="98"/>
      <c r="D36" s="317">
        <f>F36+H36</f>
        <v>-9155.9736999999841</v>
      </c>
      <c r="E36" s="318"/>
      <c r="F36" s="319">
        <f>F34-F35</f>
        <v>-7462.1736999999848</v>
      </c>
      <c r="G36" s="320"/>
      <c r="H36" s="319">
        <f>H34-H35</f>
        <v>-1693.7999999999993</v>
      </c>
      <c r="I36" s="321"/>
      <c r="J36" s="220"/>
      <c r="K36" s="220"/>
      <c r="L36" s="5"/>
      <c r="M36" s="5"/>
      <c r="N36" s="341"/>
      <c r="O36" s="341"/>
      <c r="P36" s="341"/>
      <c r="Q36" s="341"/>
    </row>
    <row r="37" spans="2:17" ht="34.5" customHeight="1">
      <c r="B37" s="215" t="s">
        <v>267</v>
      </c>
      <c r="C37" s="215"/>
      <c r="D37" s="131"/>
      <c r="E37" s="322" t="s">
        <v>10</v>
      </c>
      <c r="F37" s="322"/>
      <c r="G37" s="287" t="s">
        <v>11</v>
      </c>
      <c r="H37" s="287"/>
      <c r="I37" s="215"/>
      <c r="J37" s="215"/>
      <c r="K37" s="215"/>
      <c r="L37" s="6"/>
      <c r="M37" s="6"/>
      <c r="N37" s="344"/>
      <c r="O37" s="344"/>
      <c r="P37" s="344"/>
      <c r="Q37" s="344"/>
    </row>
    <row r="38" spans="2:17" ht="11.25" customHeight="1">
      <c r="B38" s="215"/>
      <c r="C38" s="215"/>
      <c r="D38" s="215"/>
      <c r="E38" s="285" t="s">
        <v>12</v>
      </c>
      <c r="F38" s="285"/>
      <c r="G38" s="288"/>
      <c r="H38" s="288"/>
      <c r="I38" s="218"/>
      <c r="J38" s="218"/>
      <c r="K38" s="218"/>
      <c r="L38" s="6"/>
      <c r="M38" s="6"/>
      <c r="N38" s="344"/>
      <c r="O38" s="344"/>
      <c r="P38" s="344"/>
      <c r="Q38" s="344"/>
    </row>
    <row r="39" spans="2:17">
      <c r="B39" s="215" t="s">
        <v>268</v>
      </c>
      <c r="C39" s="215"/>
      <c r="D39" s="215"/>
      <c r="E39" s="286" t="s">
        <v>10</v>
      </c>
      <c r="F39" s="286"/>
      <c r="G39" s="287" t="s">
        <v>312</v>
      </c>
      <c r="H39" s="287"/>
      <c r="I39" s="215"/>
      <c r="J39" s="215"/>
      <c r="K39" s="215"/>
      <c r="L39" s="6"/>
      <c r="M39" s="6"/>
      <c r="N39" s="344"/>
      <c r="O39" s="344"/>
      <c r="P39" s="344"/>
      <c r="Q39" s="344"/>
    </row>
    <row r="40" spans="2:17" ht="9.75" customHeight="1">
      <c r="B40" s="215"/>
      <c r="C40" s="215"/>
      <c r="D40" s="215"/>
      <c r="E40" s="285" t="s">
        <v>12</v>
      </c>
      <c r="F40" s="285"/>
      <c r="G40" s="287"/>
      <c r="H40" s="287"/>
      <c r="I40" s="215"/>
      <c r="J40" s="215"/>
      <c r="K40" s="215"/>
      <c r="N40" s="341"/>
      <c r="O40" s="341"/>
      <c r="P40" s="341"/>
      <c r="Q40" s="341"/>
    </row>
    <row r="41" spans="2:17">
      <c r="B41" s="215" t="s">
        <v>269</v>
      </c>
      <c r="C41" s="215"/>
      <c r="D41" s="215"/>
      <c r="E41" s="286" t="s">
        <v>10</v>
      </c>
      <c r="F41" s="286"/>
      <c r="G41" s="287" t="s">
        <v>313</v>
      </c>
      <c r="H41" s="287"/>
      <c r="I41" s="215"/>
      <c r="J41" s="215"/>
      <c r="K41" s="215"/>
      <c r="N41" s="341"/>
      <c r="O41" s="341"/>
      <c r="P41" s="341"/>
      <c r="Q41" s="341"/>
    </row>
    <row r="42" spans="2:17" ht="8.25" customHeight="1">
      <c r="B42" s="61"/>
      <c r="C42" s="61"/>
      <c r="D42" s="61"/>
      <c r="E42" s="285" t="s">
        <v>12</v>
      </c>
      <c r="F42" s="285"/>
      <c r="G42" s="100"/>
      <c r="H42" s="117"/>
      <c r="I42" s="222"/>
      <c r="J42" s="222"/>
      <c r="K42" s="222"/>
      <c r="N42" s="341"/>
      <c r="O42" s="341"/>
      <c r="P42" s="341"/>
      <c r="Q42" s="341"/>
    </row>
    <row r="43" spans="2:17">
      <c r="B43" s="215" t="s">
        <v>270</v>
      </c>
      <c r="C43" s="215"/>
      <c r="D43" s="215"/>
      <c r="E43" s="286" t="s">
        <v>10</v>
      </c>
      <c r="F43" s="286"/>
      <c r="G43" s="287" t="s">
        <v>244</v>
      </c>
      <c r="H43" s="287"/>
      <c r="I43" s="1"/>
    </row>
    <row r="44" spans="2:17" ht="9" customHeight="1">
      <c r="C44" s="46"/>
      <c r="E44" s="285" t="s">
        <v>12</v>
      </c>
      <c r="F44" s="285"/>
    </row>
  </sheetData>
  <mergeCells count="41">
    <mergeCell ref="B31:I31"/>
    <mergeCell ref="E44:F44"/>
    <mergeCell ref="D35:E35"/>
    <mergeCell ref="F35:G35"/>
    <mergeCell ref="H35:I35"/>
    <mergeCell ref="F36:G36"/>
    <mergeCell ref="H36:I36"/>
    <mergeCell ref="D36:E36"/>
    <mergeCell ref="E37:F37"/>
    <mergeCell ref="G37:H37"/>
    <mergeCell ref="E38:F38"/>
    <mergeCell ref="G38:H38"/>
    <mergeCell ref="E39:F39"/>
    <mergeCell ref="G39:H39"/>
    <mergeCell ref="E43:F43"/>
    <mergeCell ref="G43:H4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42:F42"/>
    <mergeCell ref="D34:E34"/>
    <mergeCell ref="F34:G34"/>
    <mergeCell ref="H34:I34"/>
    <mergeCell ref="D32:E32"/>
    <mergeCell ref="F32:G32"/>
    <mergeCell ref="H32:I32"/>
    <mergeCell ref="G40:H40"/>
    <mergeCell ref="E41:F41"/>
    <mergeCell ref="G41:H41"/>
    <mergeCell ref="D33:E33"/>
    <mergeCell ref="F33:G33"/>
    <mergeCell ref="H33:I33"/>
    <mergeCell ref="E40:F40"/>
  </mergeCells>
  <printOptions horizontalCentered="1"/>
  <pageMargins left="0.22" right="0.19685039370078741" top="0.2" bottom="0.23622047244094491" header="0.19685039370078741" footer="0.23622047244094491"/>
  <pageSetup paperSize="9"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5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5703125" style="1" customWidth="1"/>
    <col min="3" max="3" width="11.42578125" style="46" customWidth="1"/>
    <col min="4" max="4" width="9.42578125" style="3" customWidth="1"/>
    <col min="5" max="5" width="9.5703125" style="3" customWidth="1"/>
    <col min="6" max="6" width="10.7109375" style="3" customWidth="1"/>
    <col min="7" max="7" width="10.28515625" style="3" customWidth="1"/>
    <col min="8" max="8" width="10.28515625" style="1" customWidth="1"/>
    <col min="9" max="9" width="11.140625" style="3" customWidth="1"/>
    <col min="10" max="10" width="11.42578125" style="1" customWidth="1"/>
    <col min="11" max="11" width="13.140625" style="1" customWidth="1"/>
    <col min="12" max="12" width="13.85546875" style="1" customWidth="1"/>
    <col min="13" max="13" width="9.140625" style="1"/>
    <col min="14" max="14" width="12.5703125" style="339" customWidth="1"/>
    <col min="15" max="15" width="11.5703125" style="339" customWidth="1"/>
    <col min="16" max="16" width="11.7109375" style="339" customWidth="1"/>
    <col min="17" max="17" width="12.28515625" style="339" customWidth="1"/>
    <col min="18" max="18" width="9.140625" style="339"/>
    <col min="19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6.2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5" customHeight="1"/>
    <row r="5" spans="2:18">
      <c r="B5" s="5" t="s">
        <v>0</v>
      </c>
      <c r="C5" s="45"/>
      <c r="D5" s="325" t="s">
        <v>52</v>
      </c>
      <c r="E5" s="325"/>
      <c r="F5" s="18"/>
    </row>
    <row r="6" spans="2:18">
      <c r="B6" s="5" t="s">
        <v>1</v>
      </c>
      <c r="C6" s="45"/>
      <c r="D6" s="19">
        <v>1962</v>
      </c>
      <c r="E6" s="19"/>
      <c r="F6" s="16"/>
    </row>
    <row r="7" spans="2:18" hidden="1" outlineLevel="1">
      <c r="B7" s="5" t="s">
        <v>2</v>
      </c>
      <c r="C7" s="45"/>
      <c r="D7" s="19">
        <v>2</v>
      </c>
      <c r="E7" s="19"/>
      <c r="F7" s="16"/>
    </row>
    <row r="8" spans="2:18" hidden="1" outlineLevel="1">
      <c r="B8" s="5" t="s">
        <v>3</v>
      </c>
      <c r="C8" s="45"/>
      <c r="D8" s="19">
        <v>8</v>
      </c>
      <c r="E8" s="19"/>
      <c r="F8" s="16"/>
    </row>
    <row r="9" spans="2:18" ht="31.5" hidden="1" outlineLevel="1">
      <c r="B9" s="4" t="s">
        <v>4</v>
      </c>
      <c r="C9" s="41"/>
      <c r="D9" s="19" t="s">
        <v>53</v>
      </c>
      <c r="E9" s="19"/>
      <c r="F9" s="16"/>
    </row>
    <row r="10" spans="2:18" collapsed="1">
      <c r="B10" s="5" t="s">
        <v>5</v>
      </c>
      <c r="C10" s="45"/>
      <c r="D10" s="19" t="s">
        <v>54</v>
      </c>
      <c r="E10" s="19"/>
      <c r="F10" s="16"/>
      <c r="J10" s="10"/>
    </row>
    <row r="11" spans="2:18" hidden="1" outlineLevel="1">
      <c r="B11" s="5" t="s">
        <v>6</v>
      </c>
      <c r="C11" s="45"/>
      <c r="D11" s="19" t="s">
        <v>16</v>
      </c>
      <c r="E11" s="19"/>
      <c r="F11" s="16"/>
    </row>
    <row r="12" spans="2:18" ht="31.5" hidden="1" outlineLevel="1">
      <c r="B12" s="4" t="s">
        <v>7</v>
      </c>
      <c r="C12" s="41"/>
      <c r="D12" s="324" t="s">
        <v>55</v>
      </c>
      <c r="E12" s="324"/>
      <c r="F12" s="16"/>
      <c r="J12" s="10"/>
      <c r="M12" s="1" t="e">
        <f>#REF!+#REF!</f>
        <v>#REF!</v>
      </c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17307.5</v>
      </c>
      <c r="O15" s="341">
        <v>19550.009999999998</v>
      </c>
      <c r="P15" s="341">
        <f>18699.61*0.92</f>
        <v>17203.641200000002</v>
      </c>
      <c r="Q15" s="341">
        <f>20910.26*0.92</f>
        <v>19237.439200000001</v>
      </c>
      <c r="R15" s="339">
        <f>(N15+O15)/(P15+Q15)*100</f>
        <v>101.14274767770056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4633.7278955594438</v>
      </c>
      <c r="H16" s="81">
        <f>($P$15/$P$16*E16)+($Q$15/$Q$16*F16)</f>
        <v>4582.4644067973859</v>
      </c>
      <c r="I16" s="82">
        <f>H16-G16</f>
        <v>-51.263488762057932</v>
      </c>
      <c r="J16" s="171"/>
      <c r="K16" s="171"/>
      <c r="L16" s="12"/>
      <c r="M16" s="13"/>
      <c r="N16" s="342">
        <v>7.65</v>
      </c>
      <c r="O16" s="341">
        <v>8.74</v>
      </c>
      <c r="P16" s="342">
        <v>7.65</v>
      </c>
      <c r="Q16" s="341">
        <v>8.74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0</v>
      </c>
      <c r="F17" s="221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1237.4248015285443</v>
      </c>
      <c r="H18" s="81">
        <f t="shared" si="1"/>
        <v>1223.9673563398694</v>
      </c>
      <c r="I18" s="82">
        <f t="shared" si="2"/>
        <v>-13.45744518867491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0.17</v>
      </c>
      <c r="F19" s="221">
        <v>0.03</v>
      </c>
      <c r="G19" s="80">
        <f t="shared" si="0"/>
        <v>451.71640859394859</v>
      </c>
      <c r="H19" s="81">
        <f t="shared" si="1"/>
        <v>448.3355377777778</v>
      </c>
      <c r="I19" s="82">
        <f t="shared" si="2"/>
        <v>-3.3808708161707841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5554.158384484228</v>
      </c>
      <c r="H20" s="81">
        <f t="shared" si="1"/>
        <v>5491.1162650980386</v>
      </c>
      <c r="I20" s="82">
        <f t="shared" si="2"/>
        <v>-63.04211938618937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3.33</v>
      </c>
      <c r="G21" s="80">
        <f t="shared" si="0"/>
        <v>15751.763183993655</v>
      </c>
      <c r="H21" s="81">
        <f t="shared" si="1"/>
        <v>15582.846492026145</v>
      </c>
      <c r="I21" s="82">
        <f t="shared" si="2"/>
        <v>-168.91669196750991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8530.98</v>
      </c>
      <c r="H22" s="53">
        <v>8642.23</v>
      </c>
      <c r="I22" s="82">
        <f t="shared" si="2"/>
        <v>111.25</v>
      </c>
      <c r="J22" s="171"/>
      <c r="K22" s="171"/>
      <c r="N22" s="341"/>
      <c r="O22" s="341"/>
      <c r="P22" s="341"/>
      <c r="Q22" s="341"/>
    </row>
    <row r="23" spans="2:17" ht="112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967.4691085236534</v>
      </c>
      <c r="H23" s="81">
        <f t="shared" ref="H23" si="3">($P$15/$P$16*E23)+($Q$15/$Q$16*F23)</f>
        <v>956.97203712418298</v>
      </c>
      <c r="I23" s="82">
        <f t="shared" si="2"/>
        <v>-10.497071399470428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4.8</v>
      </c>
      <c r="F24" s="221">
        <v>4.8</v>
      </c>
      <c r="G24" s="80">
        <v>21719.22</v>
      </c>
      <c r="H24" s="130">
        <v>11567</v>
      </c>
      <c r="I24" s="82">
        <f t="shared" si="2"/>
        <v>-10152.220000000001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4827.3712726402528</v>
      </c>
      <c r="H25" s="81">
        <f t="shared" ref="H25:H27" si="4">($P$15/$P$16*E25)+($Q$15/$Q$16*F25)</f>
        <v>4766.2330107189537</v>
      </c>
      <c r="I25" s="82">
        <f t="shared" si="2"/>
        <v>-61.13826192129909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2422.18447218857</v>
      </c>
      <c r="H26" s="81">
        <f t="shared" si="4"/>
        <v>2389.1068967320261</v>
      </c>
      <c r="I26" s="82">
        <f t="shared" si="2"/>
        <v>-33.077575456543855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0.2</v>
      </c>
      <c r="F27" s="237">
        <v>0.25</v>
      </c>
      <c r="G27" s="238">
        <f t="shared" si="0"/>
        <v>1011.6944724876982</v>
      </c>
      <c r="H27" s="108">
        <f t="shared" si="4"/>
        <v>1000.038397385621</v>
      </c>
      <c r="I27" s="109">
        <f t="shared" si="2"/>
        <v>-11.656075102077239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14.39</v>
      </c>
      <c r="F28" s="113">
        <f>SUM(F16:F27)</f>
        <v>15.54</v>
      </c>
      <c r="G28" s="114">
        <f>SUM(G16:G27)</f>
        <v>67107.709999999992</v>
      </c>
      <c r="H28" s="115">
        <f>SUM(H16:H27)</f>
        <v>56650.310400000002</v>
      </c>
      <c r="I28" s="116">
        <f>H28-G28</f>
        <v>-10457.39959999999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67107.709999999992</v>
      </c>
      <c r="E32" s="296"/>
      <c r="F32" s="295">
        <f>17307.5+19550.01+8530.98</f>
        <v>45388.489999999991</v>
      </c>
      <c r="G32" s="296"/>
      <c r="H32" s="295">
        <f>G24</f>
        <v>21719.22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75928.95</v>
      </c>
      <c r="E33" s="296"/>
      <c r="F33" s="295">
        <f>19788.47+22352.44+8955.45</f>
        <v>51096.36</v>
      </c>
      <c r="G33" s="296"/>
      <c r="H33" s="295">
        <v>24832.59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56650.310400000002</v>
      </c>
      <c r="E34" s="315"/>
      <c r="F34" s="314">
        <f>H16+H17+H18+H19+H20+H21+H22+H23+H25+H26+H27</f>
        <v>45083.310400000002</v>
      </c>
      <c r="G34" s="315"/>
      <c r="H34" s="314">
        <f>H24</f>
        <v>11567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19278.639599999999</v>
      </c>
      <c r="E35" s="318"/>
      <c r="F35" s="319">
        <f>F33-F34</f>
        <v>6013.0495999999985</v>
      </c>
      <c r="G35" s="320"/>
      <c r="H35" s="319">
        <f>H33-H34</f>
        <v>13265.59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9" customHeight="1">
      <c r="E43" s="285" t="s">
        <v>12</v>
      </c>
      <c r="F43" s="285"/>
    </row>
    <row r="44" spans="2:17">
      <c r="C44" s="48"/>
    </row>
    <row r="45" spans="2:17">
      <c r="C45" s="48"/>
    </row>
  </sheetData>
  <mergeCells count="41">
    <mergeCell ref="G36:H36"/>
    <mergeCell ref="E43:F43"/>
    <mergeCell ref="E37:F37"/>
    <mergeCell ref="G37:H37"/>
    <mergeCell ref="E38:F38"/>
    <mergeCell ref="G38:H38"/>
    <mergeCell ref="E41:F41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12:E12"/>
    <mergeCell ref="D5:E5"/>
    <mergeCell ref="H33:I33"/>
    <mergeCell ref="D34:E34"/>
    <mergeCell ref="F34:G34"/>
    <mergeCell ref="E42:F42"/>
    <mergeCell ref="G42:H42"/>
    <mergeCell ref="F35:G35"/>
    <mergeCell ref="D33:E33"/>
    <mergeCell ref="F33:G33"/>
    <mergeCell ref="E39:F39"/>
    <mergeCell ref="G39:H39"/>
    <mergeCell ref="E40:F40"/>
    <mergeCell ref="G40:H40"/>
    <mergeCell ref="H34:I34"/>
    <mergeCell ref="H35:I35"/>
    <mergeCell ref="D35:E35"/>
    <mergeCell ref="E36:F36"/>
    <mergeCell ref="B30:I30"/>
    <mergeCell ref="D31:E31"/>
    <mergeCell ref="F31:G31"/>
    <mergeCell ref="H31:I31"/>
    <mergeCell ref="D32:E32"/>
    <mergeCell ref="F32:G32"/>
    <mergeCell ref="H32:I32"/>
  </mergeCells>
  <pageMargins left="0.19685039370078741" right="0.19685039370078741" top="0.16" bottom="0.23622047244094491" header="0.31496062992125984" footer="0.25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5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140625" style="1" customWidth="1"/>
    <col min="3" max="3" width="12.7109375" style="46" customWidth="1"/>
    <col min="4" max="4" width="10.7109375" style="3" customWidth="1"/>
    <col min="5" max="5" width="11" style="3" customWidth="1"/>
    <col min="6" max="6" width="10.7109375" style="3" customWidth="1"/>
    <col min="7" max="7" width="10.28515625" style="3" customWidth="1"/>
    <col min="8" max="8" width="10.28515625" style="1" customWidth="1"/>
    <col min="9" max="9" width="11.42578125" style="3" customWidth="1"/>
    <col min="10" max="10" width="10.7109375" style="1" bestFit="1" customWidth="1"/>
    <col min="11" max="11" width="10.5703125" style="1" customWidth="1"/>
    <col min="12" max="12" width="13.85546875" style="1" customWidth="1"/>
    <col min="13" max="13" width="12.7109375" style="1" customWidth="1"/>
    <col min="14" max="14" width="14.7109375" style="339" customWidth="1"/>
    <col min="15" max="15" width="13" style="339" customWidth="1"/>
    <col min="16" max="16" width="12.5703125" style="339" customWidth="1"/>
    <col min="17" max="17" width="13.85546875" style="339" customWidth="1"/>
    <col min="18" max="19" width="9.140625" style="339"/>
    <col min="20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5.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3.5" customHeight="1"/>
    <row r="5" spans="2:18">
      <c r="B5" s="5" t="s">
        <v>0</v>
      </c>
      <c r="C5" s="45"/>
      <c r="D5" s="325" t="s">
        <v>56</v>
      </c>
      <c r="E5" s="325"/>
      <c r="F5" s="18"/>
    </row>
    <row r="6" spans="2:18">
      <c r="B6" s="5" t="s">
        <v>1</v>
      </c>
      <c r="C6" s="45"/>
      <c r="D6" s="19">
        <v>1961</v>
      </c>
      <c r="E6" s="19"/>
      <c r="F6" s="16"/>
    </row>
    <row r="7" spans="2:18">
      <c r="B7" s="5" t="s">
        <v>2</v>
      </c>
      <c r="C7" s="45"/>
      <c r="D7" s="19">
        <v>2</v>
      </c>
      <c r="E7" s="19"/>
      <c r="F7" s="16"/>
    </row>
    <row r="8" spans="2:18" hidden="1" outlineLevel="1">
      <c r="B8" s="5" t="s">
        <v>3</v>
      </c>
      <c r="C8" s="45"/>
      <c r="D8" s="19">
        <v>8</v>
      </c>
      <c r="E8" s="19"/>
      <c r="F8" s="16"/>
    </row>
    <row r="9" spans="2:18" ht="31.5" hidden="1" outlineLevel="1">
      <c r="B9" s="4" t="s">
        <v>4</v>
      </c>
      <c r="C9" s="41"/>
      <c r="D9" s="19" t="s">
        <v>57</v>
      </c>
      <c r="E9" s="19"/>
      <c r="F9" s="16"/>
    </row>
    <row r="10" spans="2:18" collapsed="1">
      <c r="B10" s="5" t="s">
        <v>5</v>
      </c>
      <c r="C10" s="45"/>
      <c r="D10" s="19" t="s">
        <v>58</v>
      </c>
      <c r="E10" s="19"/>
      <c r="F10" s="16"/>
      <c r="J10" s="10"/>
    </row>
    <row r="11" spans="2:18" hidden="1" outlineLevel="1">
      <c r="B11" s="5" t="s">
        <v>6</v>
      </c>
      <c r="C11" s="45"/>
      <c r="D11" s="19" t="s">
        <v>16</v>
      </c>
      <c r="E11" s="19"/>
      <c r="F11" s="16"/>
    </row>
    <row r="12" spans="2:18" ht="31.5" hidden="1" outlineLevel="1">
      <c r="B12" s="4" t="s">
        <v>7</v>
      </c>
      <c r="C12" s="41"/>
      <c r="D12" s="324" t="s">
        <v>59</v>
      </c>
      <c r="E12" s="324"/>
      <c r="F12" s="16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16657.78</v>
      </c>
      <c r="O15" s="341">
        <v>18828.150000000001</v>
      </c>
      <c r="P15" s="341">
        <f>18486.48*0.89</f>
        <v>16452.967199999999</v>
      </c>
      <c r="Q15" s="341">
        <f>20671.93*0.89</f>
        <v>18398.0177</v>
      </c>
      <c r="R15" s="339">
        <f>(N15+O15)/(P15+Q15)*100</f>
        <v>101.82188567072608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4493.3102890154114</v>
      </c>
      <c r="H16" s="81">
        <f>($P$15/$P$16*E16)+($Q$15/$Q$16*F16)</f>
        <v>4414.2002196095273</v>
      </c>
      <c r="I16" s="82">
        <f>H16-G16</f>
        <v>-79.110069405884133</v>
      </c>
      <c r="J16" s="171"/>
      <c r="K16" s="171"/>
      <c r="L16" s="12"/>
      <c r="M16" s="13"/>
      <c r="N16" s="342">
        <v>7.54</v>
      </c>
      <c r="O16" s="341">
        <v>8.74</v>
      </c>
      <c r="P16" s="342">
        <v>7.54</v>
      </c>
      <c r="Q16" s="341">
        <v>8.74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0</v>
      </c>
      <c r="F17" s="221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1200.2389541969908</v>
      </c>
      <c r="H18" s="81">
        <f t="shared" si="1"/>
        <v>1179.3453338942877</v>
      </c>
      <c r="I18" s="82">
        <f t="shared" si="2"/>
        <v>-20.893620302703084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0.04</v>
      </c>
      <c r="F19" s="221">
        <v>0.03</v>
      </c>
      <c r="G19" s="80">
        <f t="shared" si="0"/>
        <v>152.99770283886397</v>
      </c>
      <c r="H19" s="81">
        <f t="shared" si="1"/>
        <v>150.43473612677465</v>
      </c>
      <c r="I19" s="82">
        <f t="shared" si="2"/>
        <v>-2.5629667120893203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5383.7035526467535</v>
      </c>
      <c r="H20" s="81">
        <f t="shared" si="1"/>
        <v>5287.2822459174258</v>
      </c>
      <c r="I20" s="82">
        <f t="shared" si="2"/>
        <v>-96.421306729327625</v>
      </c>
      <c r="J20" s="171"/>
      <c r="K20" s="171"/>
      <c r="N20" s="341"/>
      <c r="O20" s="341"/>
      <c r="P20" s="341"/>
      <c r="Q20" s="341"/>
    </row>
    <row r="21" spans="2:17" ht="153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3.33</v>
      </c>
      <c r="G21" s="80">
        <f t="shared" si="0"/>
        <v>15281.618940843346</v>
      </c>
      <c r="H21" s="81">
        <f t="shared" si="1"/>
        <v>15018.04553182265</v>
      </c>
      <c r="I21" s="82">
        <f t="shared" si="2"/>
        <v>-263.57340902069518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8415.42</v>
      </c>
      <c r="H22" s="53">
        <v>8543.73</v>
      </c>
      <c r="I22" s="82">
        <f t="shared" si="2"/>
        <v>128.30999999999949</v>
      </c>
      <c r="J22" s="171"/>
      <c r="K22" s="171"/>
      <c r="N22" s="341"/>
      <c r="O22" s="341"/>
      <c r="P22" s="341"/>
      <c r="Q22" s="341"/>
    </row>
    <row r="23" spans="2:17" ht="112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938.4286413574589</v>
      </c>
      <c r="H23" s="81">
        <f t="shared" ref="H23" si="3">($P$15/$P$16*E23)+($Q$15/$Q$16*F23)</f>
        <v>922.11768445240932</v>
      </c>
      <c r="I23" s="82">
        <f t="shared" si="2"/>
        <v>-16.310956905049579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4.8</v>
      </c>
      <c r="F24" s="221">
        <v>4.8</v>
      </c>
      <c r="G24" s="80">
        <v>21208.84</v>
      </c>
      <c r="H24" s="130">
        <v>11275</v>
      </c>
      <c r="I24" s="82">
        <f t="shared" si="2"/>
        <v>-9933.84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4670.6916195545955</v>
      </c>
      <c r="H25" s="81">
        <f t="shared" ref="H25:H27" si="4">($P$15/$P$16*E25)+($Q$15/$Q$16*F25)</f>
        <v>4580.5370539790838</v>
      </c>
      <c r="I25" s="82">
        <f t="shared" si="2"/>
        <v>-90.154565575511697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2340.3416353058292</v>
      </c>
      <c r="H26" s="81">
        <f t="shared" si="4"/>
        <v>2292.7029557408541</v>
      </c>
      <c r="I26" s="82">
        <f t="shared" si="2"/>
        <v>-47.638679564975064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0.22</v>
      </c>
      <c r="F27" s="237">
        <v>0.25</v>
      </c>
      <c r="G27" s="238">
        <f t="shared" si="0"/>
        <v>1024.5986642407543</v>
      </c>
      <c r="H27" s="108">
        <f t="shared" si="4"/>
        <v>1006.319138456986</v>
      </c>
      <c r="I27" s="109">
        <f t="shared" si="2"/>
        <v>-18.279525783768236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14.280000000000003</v>
      </c>
      <c r="F28" s="113">
        <f>SUM(F16:F27)</f>
        <v>15.54</v>
      </c>
      <c r="G28" s="114">
        <f>SUM(G16:G27)</f>
        <v>65110.19</v>
      </c>
      <c r="H28" s="115">
        <f>SUM(H16:H27)</f>
        <v>54669.714899999999</v>
      </c>
      <c r="I28" s="116">
        <f>H28-G28</f>
        <v>-10440.475100000003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65110.19</v>
      </c>
      <c r="E32" s="296"/>
      <c r="F32" s="295">
        <f>16657.78+18828.15+8415.42</f>
        <v>43901.35</v>
      </c>
      <c r="G32" s="296"/>
      <c r="H32" s="295">
        <f>G24</f>
        <v>21208.84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63167.81</v>
      </c>
      <c r="E33" s="296"/>
      <c r="F33" s="295">
        <f>16159.17+18264.57+8170.06</f>
        <v>42593.799999999996</v>
      </c>
      <c r="G33" s="296"/>
      <c r="H33" s="295">
        <v>20574.009999999998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54669.714899999999</v>
      </c>
      <c r="E34" s="315"/>
      <c r="F34" s="314">
        <f>H16+H17+H18+H19+H20+H21+H22+H23+H25+H26+H27</f>
        <v>43394.714899999999</v>
      </c>
      <c r="G34" s="315"/>
      <c r="H34" s="314">
        <f>H24</f>
        <v>11275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8498.095099999995</v>
      </c>
      <c r="E35" s="318"/>
      <c r="F35" s="319">
        <f>F33-F34</f>
        <v>-800.9149000000034</v>
      </c>
      <c r="G35" s="320"/>
      <c r="H35" s="319">
        <f>H33-H34</f>
        <v>9299.0099999999984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9" customHeight="1">
      <c r="E43" s="285" t="s">
        <v>12</v>
      </c>
      <c r="F43" s="285"/>
    </row>
    <row r="44" spans="2:17">
      <c r="C44" s="48"/>
    </row>
    <row r="45" spans="2:17">
      <c r="C45" s="48"/>
    </row>
  </sheetData>
  <mergeCells count="41">
    <mergeCell ref="E43:F43"/>
    <mergeCell ref="E41:F41"/>
    <mergeCell ref="E42:F42"/>
    <mergeCell ref="G42:H42"/>
    <mergeCell ref="E38:F38"/>
    <mergeCell ref="G38:H38"/>
    <mergeCell ref="E39:F39"/>
    <mergeCell ref="G39:H39"/>
    <mergeCell ref="E40:F40"/>
    <mergeCell ref="G40:H40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12:E12"/>
    <mergeCell ref="D5:E5"/>
    <mergeCell ref="E37:F37"/>
    <mergeCell ref="G37:H37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</mergeCells>
  <printOptions horizontalCentered="1"/>
  <pageMargins left="0.19685039370078741" right="0.19685039370078741" top="0.15748031496062992" bottom="0.23622047244094491" header="0.6692913385826772" footer="0.23622047244094491"/>
  <pageSetup paperSize="9" scale="4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5"/>
  <sheetViews>
    <sheetView zoomScale="110" zoomScaleNormal="110" workbookViewId="0">
      <selection activeCell="B1" sqref="B1:I1"/>
    </sheetView>
  </sheetViews>
  <sheetFormatPr defaultColWidth="9.140625" defaultRowHeight="18" customHeight="1" outlineLevelRow="1"/>
  <cols>
    <col min="1" max="1" width="2.85546875" style="1" customWidth="1"/>
    <col min="2" max="2" width="55.5703125" style="1" customWidth="1"/>
    <col min="3" max="3" width="11.7109375" style="48" customWidth="1"/>
    <col min="4" max="4" width="9.140625" style="3" customWidth="1"/>
    <col min="5" max="5" width="10.5703125" style="3" customWidth="1"/>
    <col min="6" max="6" width="10.42578125" style="3" customWidth="1"/>
    <col min="7" max="7" width="9.7109375" style="3" customWidth="1"/>
    <col min="8" max="8" width="10.28515625" style="1" customWidth="1"/>
    <col min="9" max="9" width="12.140625" style="3" customWidth="1"/>
    <col min="10" max="10" width="10.140625" style="1" customWidth="1"/>
    <col min="11" max="11" width="9.5703125" style="1" bestFit="1" customWidth="1"/>
    <col min="12" max="12" width="13.85546875" style="1" customWidth="1"/>
    <col min="13" max="13" width="13" style="1" customWidth="1"/>
    <col min="14" max="14" width="11.5703125" style="339" customWidth="1"/>
    <col min="15" max="15" width="12.140625" style="339" customWidth="1"/>
    <col min="16" max="16" width="13.42578125" style="339" customWidth="1"/>
    <col min="17" max="17" width="11.5703125" style="339" customWidth="1"/>
    <col min="18" max="18" width="9.140625" style="339"/>
    <col min="19" max="16384" width="9.140625" style="1"/>
  </cols>
  <sheetData>
    <row r="1" spans="2:18" ht="18" customHeight="1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19.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0.5" customHeight="1"/>
    <row r="5" spans="2:18" ht="18" customHeight="1">
      <c r="B5" s="1" t="s">
        <v>0</v>
      </c>
      <c r="D5" s="299" t="s">
        <v>60</v>
      </c>
      <c r="E5" s="299"/>
      <c r="F5" s="299"/>
    </row>
    <row r="6" spans="2:18" ht="18" customHeight="1">
      <c r="B6" s="1" t="s">
        <v>1</v>
      </c>
      <c r="D6" s="16">
        <v>1961</v>
      </c>
      <c r="E6" s="16"/>
      <c r="F6" s="16"/>
    </row>
    <row r="7" spans="2:18" ht="18" hidden="1" customHeight="1" outlineLevel="1">
      <c r="B7" s="1" t="s">
        <v>2</v>
      </c>
      <c r="D7" s="16">
        <v>2</v>
      </c>
      <c r="E7" s="16"/>
      <c r="F7" s="16"/>
    </row>
    <row r="8" spans="2:18" ht="18" hidden="1" customHeight="1" outlineLevel="1">
      <c r="B8" s="1" t="s">
        <v>3</v>
      </c>
      <c r="D8" s="16">
        <v>15</v>
      </c>
      <c r="E8" s="16"/>
      <c r="F8" s="16"/>
    </row>
    <row r="9" spans="2:18" ht="30" hidden="1" customHeight="1" outlineLevel="1">
      <c r="B9" s="2" t="s">
        <v>4</v>
      </c>
      <c r="C9" s="49"/>
      <c r="D9" s="16" t="s">
        <v>61</v>
      </c>
      <c r="E9" s="16"/>
      <c r="F9" s="16"/>
    </row>
    <row r="10" spans="2:18" ht="18" customHeight="1" collapsed="1">
      <c r="B10" s="1" t="s">
        <v>5</v>
      </c>
      <c r="D10" s="35" t="s">
        <v>248</v>
      </c>
      <c r="E10" s="16"/>
      <c r="F10" s="16"/>
      <c r="J10" s="10"/>
    </row>
    <row r="11" spans="2:18" ht="18" hidden="1" customHeight="1" outlineLevel="1">
      <c r="B11" s="1" t="s">
        <v>6</v>
      </c>
      <c r="D11" s="16" t="s">
        <v>16</v>
      </c>
      <c r="E11" s="16"/>
      <c r="F11" s="16"/>
    </row>
    <row r="12" spans="2:18" ht="33.75" hidden="1" customHeight="1" outlineLevel="1">
      <c r="B12" s="2" t="s">
        <v>7</v>
      </c>
      <c r="C12" s="49"/>
      <c r="D12" s="323" t="s">
        <v>62</v>
      </c>
      <c r="E12" s="323"/>
      <c r="F12" s="16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30848.959999999999</v>
      </c>
      <c r="O15" s="341">
        <v>34761.06</v>
      </c>
      <c r="P15" s="341">
        <f>31670.09*0.96</f>
        <v>30403.286399999997</v>
      </c>
      <c r="Q15" s="341">
        <f>35414.09*0.96</f>
        <v>33997.526399999995</v>
      </c>
      <c r="R15" s="339">
        <f>(N15+O15)/(P15+Q15)*100</f>
        <v>101.87762723392211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7800.9988243917442</v>
      </c>
      <c r="H16" s="81">
        <f>($P$15/$P$16*E16)+($Q$15/$Q$16*F16)</f>
        <v>7658.5679927065521</v>
      </c>
      <c r="I16" s="82">
        <f>H16-G16</f>
        <v>-142.43083168519206</v>
      </c>
      <c r="J16" s="171"/>
      <c r="K16" s="171"/>
      <c r="L16" s="12"/>
      <c r="M16" s="13"/>
      <c r="N16" s="342">
        <v>8.1</v>
      </c>
      <c r="O16" s="341">
        <v>9.23</v>
      </c>
      <c r="P16" s="342">
        <v>8.1</v>
      </c>
      <c r="Q16" s="341">
        <v>9.23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0</v>
      </c>
      <c r="F17" s="221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2083.2295446143144</v>
      </c>
      <c r="H18" s="81">
        <f t="shared" si="1"/>
        <v>2045.4883245584044</v>
      </c>
      <c r="I18" s="82">
        <f t="shared" si="2"/>
        <v>-37.741220055909935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0.25</v>
      </c>
      <c r="F19" s="221">
        <v>0.04</v>
      </c>
      <c r="G19" s="80">
        <f t="shared" si="0"/>
        <v>1102.7722087128659</v>
      </c>
      <c r="H19" s="81">
        <f t="shared" si="1"/>
        <v>1085.7079293447293</v>
      </c>
      <c r="I19" s="82">
        <f t="shared" si="2"/>
        <v>-17.064279368136567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9350.6122853818051</v>
      </c>
      <c r="H20" s="81">
        <f t="shared" si="1"/>
        <v>9177.866218119656</v>
      </c>
      <c r="I20" s="82">
        <f t="shared" si="2"/>
        <v>-172.74606726214915</v>
      </c>
      <c r="J20" s="171"/>
      <c r="K20" s="171"/>
      <c r="N20" s="341"/>
      <c r="O20" s="341"/>
      <c r="P20" s="341"/>
      <c r="Q20" s="341"/>
    </row>
    <row r="21" spans="2:17" ht="147" customHeight="1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3.33</v>
      </c>
      <c r="G21" s="80">
        <f t="shared" si="0"/>
        <v>26518.342325963378</v>
      </c>
      <c r="H21" s="81">
        <f t="shared" si="1"/>
        <v>26040.945968319087</v>
      </c>
      <c r="I21" s="82">
        <f t="shared" si="2"/>
        <v>-477.39635764429113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14392.9</v>
      </c>
      <c r="H22" s="53">
        <v>14636.67</v>
      </c>
      <c r="I22" s="82">
        <f t="shared" si="2"/>
        <v>243.77000000000044</v>
      </c>
      <c r="J22" s="171"/>
      <c r="K22" s="171"/>
      <c r="N22" s="341"/>
      <c r="O22" s="341"/>
      <c r="P22" s="341"/>
      <c r="Q22" s="341"/>
    </row>
    <row r="23" spans="2:17" ht="112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1628.7530093227933</v>
      </c>
      <c r="H23" s="81">
        <f t="shared" ref="H23" si="3">($P$15/$P$16*E23)+($Q$15/$Q$16*F23)</f>
        <v>1599.276457207977</v>
      </c>
      <c r="I23" s="82">
        <f t="shared" si="2"/>
        <v>-29.476552114816286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4.8</v>
      </c>
      <c r="F24" s="221">
        <v>4.8</v>
      </c>
      <c r="G24" s="80">
        <v>36561.72</v>
      </c>
      <c r="H24" s="130">
        <v>2791</v>
      </c>
      <c r="I24" s="82">
        <f t="shared" si="2"/>
        <v>-33770.720000000001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8127.2219334162601</v>
      </c>
      <c r="H25" s="81">
        <f t="shared" ref="H25:H27" si="4">($P$15/$P$16*E25)+($Q$15/$Q$16*F25)</f>
        <v>7969.0355482621071</v>
      </c>
      <c r="I25" s="82">
        <f t="shared" si="2"/>
        <v>-158.18638515415296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4077.987528322833</v>
      </c>
      <c r="H26" s="81">
        <f t="shared" si="4"/>
        <v>3995.5720524216513</v>
      </c>
      <c r="I26" s="82">
        <f t="shared" si="2"/>
        <v>-82.415475901181708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0.56999999999999995</v>
      </c>
      <c r="F27" s="237">
        <v>0.73</v>
      </c>
      <c r="G27" s="238">
        <f t="shared" si="0"/>
        <v>4920.1023398740017</v>
      </c>
      <c r="H27" s="108">
        <f t="shared" si="4"/>
        <v>4828.3523090598283</v>
      </c>
      <c r="I27" s="109">
        <f t="shared" si="2"/>
        <v>-91.750030814173442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14.84</v>
      </c>
      <c r="F28" s="113">
        <f>SUM(F16:F27)</f>
        <v>16.03</v>
      </c>
      <c r="G28" s="114">
        <f>SUM(G16:G27)</f>
        <v>116564.64000000001</v>
      </c>
      <c r="H28" s="115">
        <f>SUM(H16:H27)</f>
        <v>81828.482799999983</v>
      </c>
      <c r="I28" s="116">
        <f>H28-G28</f>
        <v>-34736.157200000031</v>
      </c>
      <c r="J28" s="172"/>
      <c r="K28" s="172"/>
      <c r="N28" s="341"/>
      <c r="O28" s="341"/>
      <c r="P28" s="341"/>
      <c r="Q28" s="341"/>
    </row>
    <row r="29" spans="2:17" ht="15.75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 ht="15.75">
      <c r="B32" s="57" t="s">
        <v>18</v>
      </c>
      <c r="C32" s="94"/>
      <c r="D32" s="295">
        <f>F32+H32</f>
        <v>116564.63999999998</v>
      </c>
      <c r="E32" s="296"/>
      <c r="F32" s="295">
        <f>30848.96+34761.06+14392.9</f>
        <v>80002.919999999984</v>
      </c>
      <c r="G32" s="296"/>
      <c r="H32" s="295">
        <f>G24</f>
        <v>36561.72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 ht="15.75">
      <c r="B33" s="57" t="s">
        <v>19</v>
      </c>
      <c r="C33" s="94"/>
      <c r="D33" s="295">
        <f>F33+H33</f>
        <v>94536.22</v>
      </c>
      <c r="E33" s="296"/>
      <c r="F33" s="295">
        <f>24989.17+28158.16+11772.1</f>
        <v>64919.43</v>
      </c>
      <c r="G33" s="296"/>
      <c r="H33" s="295">
        <v>29616.79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81828.482799999983</v>
      </c>
      <c r="E34" s="315"/>
      <c r="F34" s="314">
        <f>H16+H17+H18+H19+H20+H21+H22+H23+H25+H26+H27</f>
        <v>79037.482799999983</v>
      </c>
      <c r="G34" s="315"/>
      <c r="H34" s="314">
        <f>H24</f>
        <v>2791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12707.737200000018</v>
      </c>
      <c r="E35" s="318"/>
      <c r="F35" s="319">
        <f>F33-F34</f>
        <v>-14118.052799999983</v>
      </c>
      <c r="G35" s="320"/>
      <c r="H35" s="319">
        <f>H33-H34</f>
        <v>26825.79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 ht="15.75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 ht="15.75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 ht="15.75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9.75" customHeight="1">
      <c r="C43" s="46"/>
      <c r="E43" s="285" t="s">
        <v>12</v>
      </c>
      <c r="F43" s="285"/>
    </row>
    <row r="44" spans="2:17" ht="15.75"/>
    <row r="45" spans="2:17" ht="15.75"/>
  </sheetData>
  <mergeCells count="41">
    <mergeCell ref="E43:F43"/>
    <mergeCell ref="E40:F40"/>
    <mergeCell ref="G40:H40"/>
    <mergeCell ref="E41:F41"/>
    <mergeCell ref="E42:F42"/>
    <mergeCell ref="G42:H42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12:E12"/>
    <mergeCell ref="D5:F5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9:F39"/>
    <mergeCell ref="G39:H39"/>
    <mergeCell ref="E36:F36"/>
    <mergeCell ref="G36:H36"/>
    <mergeCell ref="E37:F37"/>
    <mergeCell ref="G37:H37"/>
    <mergeCell ref="E38:F38"/>
    <mergeCell ref="G38:H38"/>
  </mergeCells>
  <printOptions horizontalCentered="1"/>
  <pageMargins left="0.2" right="0.19685039370078741" top="0.15748031496062992" bottom="0.23622047244094491" header="0.2" footer="0.23622047244094491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5"/>
  <sheetViews>
    <sheetView zoomScale="110" zoomScaleNormal="110" workbookViewId="0">
      <selection activeCell="B1" sqref="B1:I1"/>
    </sheetView>
  </sheetViews>
  <sheetFormatPr defaultColWidth="9.140625" defaultRowHeight="18" customHeight="1" outlineLevelRow="1"/>
  <cols>
    <col min="1" max="1" width="2.85546875" style="1" customWidth="1"/>
    <col min="2" max="2" width="54.85546875" style="1" customWidth="1"/>
    <col min="3" max="3" width="11.85546875" style="46" customWidth="1"/>
    <col min="4" max="4" width="9.140625" style="3" customWidth="1"/>
    <col min="5" max="5" width="9.28515625" style="3" customWidth="1"/>
    <col min="6" max="6" width="9.42578125" style="3" customWidth="1"/>
    <col min="7" max="7" width="10.28515625" style="3" customWidth="1"/>
    <col min="8" max="8" width="10.28515625" style="1" customWidth="1"/>
    <col min="9" max="9" width="11" style="3" customWidth="1"/>
    <col min="10" max="10" width="13.7109375" style="1" customWidth="1"/>
    <col min="11" max="11" width="11.28515625" style="1" customWidth="1"/>
    <col min="12" max="12" width="13.85546875" style="1" customWidth="1"/>
    <col min="13" max="13" width="9.140625" style="1"/>
    <col min="14" max="14" width="13.7109375" style="339" customWidth="1"/>
    <col min="15" max="15" width="15.140625" style="339" customWidth="1"/>
    <col min="16" max="16" width="13.42578125" style="339" customWidth="1"/>
    <col min="17" max="17" width="12.42578125" style="339" customWidth="1"/>
    <col min="18" max="18" width="12" style="339" customWidth="1"/>
    <col min="19" max="16384" width="9.140625" style="1"/>
  </cols>
  <sheetData>
    <row r="1" spans="2:18" ht="18" customHeight="1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1.7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5" customHeight="1"/>
    <row r="5" spans="2:18" ht="15.75">
      <c r="B5" s="1" t="s">
        <v>0</v>
      </c>
      <c r="D5" s="299" t="s">
        <v>63</v>
      </c>
      <c r="E5" s="299"/>
      <c r="F5" s="299"/>
    </row>
    <row r="6" spans="2:18" ht="15.75">
      <c r="B6" s="1" t="s">
        <v>1</v>
      </c>
      <c r="D6" s="16">
        <v>1961</v>
      </c>
      <c r="E6" s="16"/>
      <c r="F6" s="16"/>
    </row>
    <row r="7" spans="2:18" ht="15.75" hidden="1" outlineLevel="1">
      <c r="B7" s="1" t="s">
        <v>2</v>
      </c>
      <c r="D7" s="16">
        <v>2</v>
      </c>
      <c r="E7" s="16"/>
      <c r="F7" s="16"/>
    </row>
    <row r="8" spans="2:18" ht="15.75" hidden="1" outlineLevel="1">
      <c r="B8" s="1" t="s">
        <v>3</v>
      </c>
      <c r="D8" s="16">
        <v>16</v>
      </c>
      <c r="E8" s="16"/>
      <c r="F8" s="16"/>
    </row>
    <row r="9" spans="2:18" ht="31.5" hidden="1" outlineLevel="1">
      <c r="B9" s="2" t="s">
        <v>4</v>
      </c>
      <c r="C9" s="47"/>
      <c r="D9" s="16" t="s">
        <v>64</v>
      </c>
      <c r="E9" s="16"/>
      <c r="F9" s="16"/>
    </row>
    <row r="10" spans="2:18" ht="15.75" collapsed="1">
      <c r="B10" s="1" t="s">
        <v>5</v>
      </c>
      <c r="D10" s="35" t="s">
        <v>249</v>
      </c>
      <c r="E10" s="16"/>
      <c r="F10" s="16"/>
      <c r="J10" s="10"/>
    </row>
    <row r="11" spans="2:18" ht="15.75" outlineLevel="1">
      <c r="B11" s="1" t="s">
        <v>6</v>
      </c>
      <c r="D11" s="16" t="s">
        <v>16</v>
      </c>
      <c r="E11" s="16"/>
      <c r="F11" s="16"/>
    </row>
    <row r="12" spans="2:18" ht="31.5" outlineLevel="1">
      <c r="B12" s="2" t="s">
        <v>7</v>
      </c>
      <c r="C12" s="47"/>
      <c r="D12" s="323" t="s">
        <v>65</v>
      </c>
      <c r="E12" s="323"/>
      <c r="F12" s="16"/>
      <c r="J12" s="10"/>
    </row>
    <row r="13" spans="2:18" ht="31.5" customHeight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30914.23</v>
      </c>
      <c r="O15" s="341">
        <v>34825.589999999997</v>
      </c>
      <c r="P15" s="341">
        <f>32243.51*0.95</f>
        <v>30631.334499999997</v>
      </c>
      <c r="Q15" s="341">
        <f>36055.3*0.95</f>
        <v>34252.535000000003</v>
      </c>
      <c r="R15" s="339">
        <f>(N15+O15)/(P15+Q15)*100</f>
        <v>101.31920384310618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8049.0133041861327</v>
      </c>
      <c r="H16" s="81">
        <f>($P$15/$P$16*E16)+($Q$15/$Q$16*F16)</f>
        <v>7945.5815756316642</v>
      </c>
      <c r="I16" s="82">
        <f>H16-G16</f>
        <v>-103.43172855446846</v>
      </c>
      <c r="J16" s="171"/>
      <c r="K16" s="171"/>
      <c r="L16" s="12"/>
      <c r="M16" s="13"/>
      <c r="N16" s="342">
        <v>7.86</v>
      </c>
      <c r="O16" s="341">
        <v>8.9700000000000006</v>
      </c>
      <c r="P16" s="342">
        <v>7.86</v>
      </c>
      <c r="Q16" s="341">
        <v>8.9700000000000006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1.1299999999999999</v>
      </c>
      <c r="F17" s="221">
        <v>1.17</v>
      </c>
      <c r="G17" s="80">
        <f t="shared" ref="G17:G27" si="0">($N$15/$N$16*E17)+($O$15/$O$16*F17)</f>
        <v>8986.8804618873764</v>
      </c>
      <c r="H17" s="81">
        <f t="shared" ref="H17:H21" si="1">($P$15/$P$16*E17)+($Q$15/$Q$16*F17)</f>
        <v>8871.4634304403135</v>
      </c>
      <c r="I17" s="82">
        <f t="shared" ref="I17:I27" si="2">H17-G17</f>
        <v>-115.41703144706298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2149.5321862527339</v>
      </c>
      <c r="H18" s="81">
        <f t="shared" si="1"/>
        <v>2122.2053368054667</v>
      </c>
      <c r="I18" s="82">
        <f t="shared" si="2"/>
        <v>-27.32684944726725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0.04</v>
      </c>
      <c r="F19" s="221">
        <v>0.04</v>
      </c>
      <c r="G19" s="80">
        <f t="shared" si="0"/>
        <v>312.62238590041443</v>
      </c>
      <c r="H19" s="81">
        <f t="shared" si="1"/>
        <v>308.62728493621654</v>
      </c>
      <c r="I19" s="82">
        <f t="shared" si="2"/>
        <v>-3.9951009641978885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9647.4037841149875</v>
      </c>
      <c r="H20" s="81">
        <f t="shared" si="1"/>
        <v>9521.4051178951031</v>
      </c>
      <c r="I20" s="82">
        <f t="shared" si="2"/>
        <v>-125.9986662198844</v>
      </c>
      <c r="J20" s="171"/>
      <c r="K20" s="171"/>
      <c r="N20" s="341"/>
      <c r="O20" s="341"/>
      <c r="P20" s="341"/>
      <c r="Q20" s="341"/>
    </row>
    <row r="21" spans="2:17" ht="154.5" customHeight="1">
      <c r="B21" s="102" t="s">
        <v>282</v>
      </c>
      <c r="C21" s="76" t="s">
        <v>303</v>
      </c>
      <c r="D21" s="77" t="s">
        <v>300</v>
      </c>
      <c r="E21" s="223">
        <f>3.67-0.64</f>
        <v>3.03</v>
      </c>
      <c r="F21" s="221">
        <f>3.33-0.75</f>
        <v>2.58</v>
      </c>
      <c r="G21" s="80">
        <f t="shared" si="0"/>
        <v>21934.042554698866</v>
      </c>
      <c r="H21" s="81">
        <f t="shared" si="1"/>
        <v>21660.162235256197</v>
      </c>
      <c r="I21" s="82">
        <f t="shared" si="2"/>
        <v>-273.88031944266913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14698.8</v>
      </c>
      <c r="H22" s="53">
        <v>14901.69</v>
      </c>
      <c r="I22" s="82">
        <f t="shared" si="2"/>
        <v>202.89000000000124</v>
      </c>
      <c r="J22" s="171"/>
      <c r="K22" s="171"/>
      <c r="N22" s="341"/>
      <c r="O22" s="341"/>
      <c r="P22" s="341"/>
      <c r="Q22" s="341"/>
    </row>
    <row r="23" spans="2:17" ht="106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1680.5986074021121</v>
      </c>
      <c r="H23" s="81">
        <f t="shared" ref="H23" si="3">($P$15/$P$16*E23)+($Q$15/$Q$16*F23)</f>
        <v>1659.2644094011418</v>
      </c>
      <c r="I23" s="82">
        <f t="shared" si="2"/>
        <v>-21.334198000970218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4.8</v>
      </c>
      <c r="F24" s="221">
        <v>4.8</v>
      </c>
      <c r="G24" s="80">
        <v>37757.839999999997</v>
      </c>
      <c r="H24" s="130">
        <v>8596</v>
      </c>
      <c r="I24" s="82">
        <f t="shared" si="2"/>
        <v>-29161.839999999997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8383.2369483945622</v>
      </c>
      <c r="H25" s="81">
        <f t="shared" ref="H25:H27" si="4">($P$15/$P$16*E25)+($Q$15/$Q$16*F25)</f>
        <v>8265.6873232254238</v>
      </c>
      <c r="I25" s="82">
        <f t="shared" si="2"/>
        <v>-117.54962516913838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4205.7117847872887</v>
      </c>
      <c r="H26" s="81">
        <f t="shared" si="4"/>
        <v>4143.6886802381987</v>
      </c>
      <c r="I26" s="82">
        <f t="shared" si="2"/>
        <v>-62.023104549090021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0.05</v>
      </c>
      <c r="F27" s="237">
        <v>0.05</v>
      </c>
      <c r="G27" s="238">
        <f t="shared" si="0"/>
        <v>390.77798237551804</v>
      </c>
      <c r="H27" s="108">
        <f t="shared" si="4"/>
        <v>385.78410617027072</v>
      </c>
      <c r="I27" s="109">
        <f t="shared" si="2"/>
        <v>-4.993876205247318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14.600000000000001</v>
      </c>
      <c r="F28" s="113">
        <f>SUM(F16:F27)</f>
        <v>15.77</v>
      </c>
      <c r="G28" s="114">
        <f>SUM(G16:G27)</f>
        <v>118196.45999999998</v>
      </c>
      <c r="H28" s="115">
        <f>SUM(H16:H27)</f>
        <v>88381.559499999988</v>
      </c>
      <c r="I28" s="116">
        <f>H28-G28</f>
        <v>-29814.900499999989</v>
      </c>
      <c r="J28" s="172"/>
      <c r="K28" s="172"/>
      <c r="N28" s="341"/>
      <c r="O28" s="341"/>
      <c r="P28" s="341"/>
      <c r="Q28" s="341"/>
    </row>
    <row r="29" spans="2:17" ht="15.75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 ht="15.75">
      <c r="B32" s="57" t="s">
        <v>18</v>
      </c>
      <c r="C32" s="94"/>
      <c r="D32" s="295">
        <f>F32+H32</f>
        <v>118249.67</v>
      </c>
      <c r="E32" s="296"/>
      <c r="F32" s="295">
        <f>30914.23+34878.8+14698.8</f>
        <v>80491.83</v>
      </c>
      <c r="G32" s="296"/>
      <c r="H32" s="295">
        <f>G24</f>
        <v>37757.839999999997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 ht="15.75">
      <c r="B33" s="57" t="s">
        <v>19</v>
      </c>
      <c r="C33" s="94"/>
      <c r="D33" s="295">
        <f>F33+H33</f>
        <v>116876.08000000002</v>
      </c>
      <c r="E33" s="296"/>
      <c r="F33" s="295">
        <f>30825.59+34778.79+13622.13</f>
        <v>79226.510000000009</v>
      </c>
      <c r="G33" s="296"/>
      <c r="H33" s="295">
        <v>37649.57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88381.559499999988</v>
      </c>
      <c r="E34" s="315"/>
      <c r="F34" s="314">
        <f>H16+H17+H18+H19+H20+H21+H22+H23+H25+H26+H27</f>
        <v>79785.559499999988</v>
      </c>
      <c r="G34" s="315"/>
      <c r="H34" s="314">
        <f>H24</f>
        <v>8596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28494.520500000021</v>
      </c>
      <c r="E35" s="318"/>
      <c r="F35" s="319">
        <f>F33-F34</f>
        <v>-559.04949999997916</v>
      </c>
      <c r="G35" s="320"/>
      <c r="H35" s="319">
        <f>H33-H34</f>
        <v>29053.57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 ht="15.75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 ht="15.75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 ht="15.75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10.5" customHeight="1">
      <c r="E43" s="285" t="s">
        <v>12</v>
      </c>
      <c r="F43" s="285"/>
    </row>
    <row r="44" spans="2:17" ht="15.75">
      <c r="C44" s="48"/>
    </row>
    <row r="45" spans="2:17" ht="15.75">
      <c r="C45" s="48"/>
    </row>
  </sheetData>
  <mergeCells count="41">
    <mergeCell ref="E43:F43"/>
    <mergeCell ref="E40:F40"/>
    <mergeCell ref="G40:H40"/>
    <mergeCell ref="E41:F41"/>
    <mergeCell ref="E42:F42"/>
    <mergeCell ref="G42:H42"/>
    <mergeCell ref="E37:F37"/>
    <mergeCell ref="G37:H37"/>
    <mergeCell ref="E38:F38"/>
    <mergeCell ref="G38:H38"/>
    <mergeCell ref="E39:F39"/>
    <mergeCell ref="G39:H39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12:E12"/>
    <mergeCell ref="D5:F5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85546875" style="1" customWidth="1"/>
    <col min="3" max="3" width="11.42578125" style="46" customWidth="1"/>
    <col min="4" max="4" width="8.85546875" style="3" customWidth="1"/>
    <col min="5" max="5" width="10.28515625" style="3" customWidth="1"/>
    <col min="6" max="6" width="10.140625" style="3" customWidth="1"/>
    <col min="7" max="7" width="10.140625" style="1" customWidth="1"/>
    <col min="8" max="8" width="10.42578125" style="1" customWidth="1"/>
    <col min="9" max="9" width="11.42578125" style="3" customWidth="1"/>
    <col min="10" max="10" width="13.28515625" style="1" customWidth="1"/>
    <col min="11" max="11" width="9.5703125" style="1" bestFit="1" customWidth="1"/>
    <col min="12" max="13" width="9.140625" style="1"/>
    <col min="14" max="14" width="15.85546875" style="339" customWidth="1"/>
    <col min="15" max="15" width="14.42578125" style="339" customWidth="1"/>
    <col min="16" max="16" width="14.140625" style="339" customWidth="1"/>
    <col min="17" max="17" width="15" style="339" customWidth="1"/>
    <col min="18" max="18" width="12.42578125" style="339" customWidth="1"/>
    <col min="19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5.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7.25" customHeight="1"/>
    <row r="5" spans="2:18">
      <c r="B5" s="1" t="s">
        <v>0</v>
      </c>
      <c r="D5" s="299" t="s">
        <v>66</v>
      </c>
      <c r="E5" s="299"/>
      <c r="F5" s="299"/>
    </row>
    <row r="6" spans="2:18">
      <c r="B6" s="1" t="s">
        <v>1</v>
      </c>
      <c r="D6" s="17">
        <v>1960</v>
      </c>
      <c r="E6" s="17"/>
      <c r="F6" s="17"/>
    </row>
    <row r="7" spans="2:18" hidden="1" outlineLevel="1">
      <c r="B7" s="1" t="s">
        <v>2</v>
      </c>
      <c r="D7" s="17">
        <v>2</v>
      </c>
      <c r="E7" s="17"/>
      <c r="F7" s="17"/>
    </row>
    <row r="8" spans="2:18" hidden="1" outlineLevel="1">
      <c r="B8" s="1" t="s">
        <v>3</v>
      </c>
      <c r="D8" s="17">
        <v>8</v>
      </c>
      <c r="E8" s="17"/>
      <c r="F8" s="17"/>
    </row>
    <row r="9" spans="2:18" ht="30.75" hidden="1" customHeight="1" outlineLevel="1">
      <c r="B9" s="2" t="s">
        <v>4</v>
      </c>
      <c r="C9" s="47"/>
      <c r="D9" s="17" t="s">
        <v>67</v>
      </c>
      <c r="E9" s="17"/>
      <c r="F9" s="17"/>
    </row>
    <row r="10" spans="2:18" collapsed="1">
      <c r="B10" s="1" t="s">
        <v>5</v>
      </c>
      <c r="D10" s="17" t="s">
        <v>68</v>
      </c>
      <c r="E10" s="17"/>
      <c r="F10" s="17"/>
      <c r="J10" s="10"/>
    </row>
    <row r="11" spans="2:18">
      <c r="D11" s="216"/>
      <c r="E11" s="216"/>
      <c r="F11" s="216"/>
      <c r="J11" s="10"/>
    </row>
    <row r="12" spans="2:18" hidden="1" outlineLevel="1">
      <c r="B12" s="1" t="s">
        <v>6</v>
      </c>
      <c r="D12" s="17" t="s">
        <v>16</v>
      </c>
      <c r="E12" s="17"/>
      <c r="F12" s="17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18654.21</v>
      </c>
      <c r="O15" s="341">
        <v>21027.96</v>
      </c>
      <c r="P15" s="346">
        <f>18862*0.98</f>
        <v>18484.759999999998</v>
      </c>
      <c r="Q15" s="341">
        <f>21091.84*0.98</f>
        <v>20670.003199999999</v>
      </c>
      <c r="R15" s="339">
        <f>(N15+O15)/(P15+Q15)*100</f>
        <v>101.34697992503756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4712.6915995964573</v>
      </c>
      <c r="H16" s="81">
        <f>($P$15/$P$16*E16)+($Q$15/$Q$16*F16)</f>
        <v>4650.9117928483356</v>
      </c>
      <c r="I16" s="82">
        <f>H16-G16</f>
        <v>-61.7798067481217</v>
      </c>
      <c r="J16" s="171"/>
      <c r="K16" s="171"/>
      <c r="L16" s="12"/>
      <c r="M16" s="13"/>
      <c r="N16" s="342">
        <v>8.11</v>
      </c>
      <c r="O16" s="341">
        <v>9.24</v>
      </c>
      <c r="P16" s="342">
        <v>8.11</v>
      </c>
      <c r="Q16" s="341">
        <v>9.24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0</v>
      </c>
      <c r="F17" s="221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1258.4951522090732</v>
      </c>
      <c r="H18" s="81">
        <f t="shared" si="1"/>
        <v>1242.1850673242911</v>
      </c>
      <c r="I18" s="82">
        <f t="shared" si="2"/>
        <v>-16.3100848847821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0.12</v>
      </c>
      <c r="F19" s="221">
        <v>0.05</v>
      </c>
      <c r="G19" s="80">
        <f t="shared" si="0"/>
        <v>389.80556616010375</v>
      </c>
      <c r="H19" s="81">
        <f t="shared" si="1"/>
        <v>385.36129551993423</v>
      </c>
      <c r="I19" s="82">
        <f t="shared" si="2"/>
        <v>-4.4442706401695204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5648.9219044950114</v>
      </c>
      <c r="H20" s="81">
        <f t="shared" si="1"/>
        <v>5573.5787074393756</v>
      </c>
      <c r="I20" s="82">
        <f t="shared" si="2"/>
        <v>-75.343197055635756</v>
      </c>
      <c r="J20" s="171"/>
      <c r="K20" s="171"/>
      <c r="N20" s="341"/>
      <c r="O20" s="341"/>
      <c r="P20" s="341"/>
      <c r="Q20" s="341"/>
    </row>
    <row r="21" spans="2:17" ht="154.5" customHeight="1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3.33</v>
      </c>
      <c r="G21" s="80">
        <f t="shared" si="0"/>
        <v>16019.805870257976</v>
      </c>
      <c r="H21" s="81">
        <f t="shared" si="1"/>
        <v>15814.1211324291</v>
      </c>
      <c r="I21" s="82">
        <f t="shared" si="2"/>
        <v>-205.68473782887668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8586.42</v>
      </c>
      <c r="H22" s="53">
        <v>8717.27</v>
      </c>
      <c r="I22" s="82">
        <f t="shared" si="2"/>
        <v>130.85000000000036</v>
      </c>
      <c r="J22" s="171"/>
      <c r="K22" s="171"/>
      <c r="N22" s="341"/>
      <c r="O22" s="341"/>
      <c r="P22" s="341"/>
      <c r="Q22" s="341"/>
    </row>
    <row r="23" spans="2:17" ht="106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983.94100549265772</v>
      </c>
      <c r="H23" s="81">
        <f t="shared" ref="H23" si="3">($P$15/$P$16*E23)+($Q$15/$Q$16*F23)</f>
        <v>971.20895289765713</v>
      </c>
      <c r="I23" s="82">
        <f t="shared" si="2"/>
        <v>-12.732052595000596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4.8499999999999996</v>
      </c>
      <c r="F24" s="221">
        <v>4.8499999999999996</v>
      </c>
      <c r="G24" s="80">
        <v>22311.45</v>
      </c>
      <c r="H24" s="130">
        <v>2144</v>
      </c>
      <c r="I24" s="82">
        <f t="shared" si="2"/>
        <v>-20167.45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4910.19060627412</v>
      </c>
      <c r="H25" s="81">
        <f t="shared" ref="H25:H27" si="4">($P$15/$P$16*E25)+($Q$15/$Q$16*F25)</f>
        <v>4839.5704207151666</v>
      </c>
      <c r="I25" s="82">
        <f t="shared" si="2"/>
        <v>-70.620185558953381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2463.9124944352807</v>
      </c>
      <c r="H26" s="81">
        <f t="shared" si="4"/>
        <v>2426.5348767776404</v>
      </c>
      <c r="I26" s="82">
        <f t="shared" si="2"/>
        <v>-37.377617657640258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0.71</v>
      </c>
      <c r="F27" s="237">
        <v>0.73</v>
      </c>
      <c r="G27" s="238">
        <f t="shared" si="0"/>
        <v>3294.4058010793151</v>
      </c>
      <c r="H27" s="108">
        <f t="shared" si="4"/>
        <v>3251.2909540484998</v>
      </c>
      <c r="I27" s="109">
        <f t="shared" si="2"/>
        <v>-43.114847030815326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14.900000000000002</v>
      </c>
      <c r="F28" s="113">
        <f>SUM(F16:F27)</f>
        <v>16.09</v>
      </c>
      <c r="G28" s="114">
        <f>SUM(G16:G27)</f>
        <v>70580.039999999979</v>
      </c>
      <c r="H28" s="115">
        <f>SUM(H16:H27)</f>
        <v>50016.033199999998</v>
      </c>
      <c r="I28" s="116">
        <f>H28-G28</f>
        <v>-20564.006799999981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70580.039999999994</v>
      </c>
      <c r="E32" s="296"/>
      <c r="F32" s="295">
        <f>18654.21+21027.96+8586.42</f>
        <v>48268.59</v>
      </c>
      <c r="G32" s="296"/>
      <c r="H32" s="295">
        <f>G24</f>
        <v>22311.45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58260.19</v>
      </c>
      <c r="E33" s="296"/>
      <c r="F33" s="295">
        <f>15357.95+17312.25+7221.05</f>
        <v>39891.25</v>
      </c>
      <c r="G33" s="296"/>
      <c r="H33" s="295">
        <v>18368.939999999999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50016.033199999998</v>
      </c>
      <c r="E34" s="315"/>
      <c r="F34" s="314">
        <f>H16+H17+H18+H19+H20+H21+H22+H23+H25+H26+H27</f>
        <v>47872.033199999998</v>
      </c>
      <c r="G34" s="315"/>
      <c r="H34" s="314">
        <f>H24</f>
        <v>2144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8244.1568000000007</v>
      </c>
      <c r="E35" s="318"/>
      <c r="F35" s="319">
        <f>F33-F34</f>
        <v>-7980.783199999998</v>
      </c>
      <c r="G35" s="320"/>
      <c r="H35" s="319">
        <f>H33-H34</f>
        <v>16224.939999999999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12" customHeight="1">
      <c r="E43" s="285" t="s">
        <v>12</v>
      </c>
      <c r="F43" s="285"/>
      <c r="G43" s="3"/>
    </row>
  </sheetData>
  <mergeCells count="40">
    <mergeCell ref="E43:F43"/>
    <mergeCell ref="E41:F41"/>
    <mergeCell ref="E42:F42"/>
    <mergeCell ref="G42:H42"/>
    <mergeCell ref="D33:E33"/>
    <mergeCell ref="F33:G33"/>
    <mergeCell ref="H33:I33"/>
    <mergeCell ref="H34:I34"/>
    <mergeCell ref="H35:I35"/>
    <mergeCell ref="E36:F36"/>
    <mergeCell ref="G36:H36"/>
    <mergeCell ref="E37:F37"/>
    <mergeCell ref="G37:H37"/>
    <mergeCell ref="E38:F38"/>
    <mergeCell ref="G38:H38"/>
    <mergeCell ref="E39:F39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E40:F40"/>
    <mergeCell ref="F34:G34"/>
    <mergeCell ref="F35:G35"/>
    <mergeCell ref="G40:H40"/>
    <mergeCell ref="D34:E34"/>
    <mergeCell ref="D35:E35"/>
    <mergeCell ref="G39:H39"/>
  </mergeCells>
  <printOptions horizontalCentered="1"/>
  <pageMargins left="0.19685039370078741" right="0.19685039370078741" top="0.15748031496062992" bottom="0.27559055118110237" header="0.31496062992125984" footer="0.23622047244094491"/>
  <pageSetup paperSize="9" scale="4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" style="1" customWidth="1"/>
    <col min="3" max="3" width="12.7109375" style="46" customWidth="1"/>
    <col min="4" max="4" width="10.28515625" style="3" customWidth="1"/>
    <col min="5" max="5" width="10.85546875" style="3" customWidth="1"/>
    <col min="6" max="6" width="10.28515625" style="3" customWidth="1"/>
    <col min="7" max="7" width="9.5703125" style="1" customWidth="1"/>
    <col min="8" max="8" width="10.42578125" style="1" customWidth="1"/>
    <col min="9" max="9" width="10.85546875" style="1" customWidth="1"/>
    <col min="10" max="10" width="10.7109375" style="1" bestFit="1" customWidth="1"/>
    <col min="11" max="11" width="9.140625" style="1"/>
    <col min="12" max="12" width="10.42578125" style="1" customWidth="1"/>
    <col min="13" max="13" width="9.140625" style="1"/>
    <col min="14" max="14" width="13.42578125" style="339" customWidth="1"/>
    <col min="15" max="15" width="14" style="339" customWidth="1"/>
    <col min="16" max="16" width="11" style="339" customWidth="1"/>
    <col min="17" max="17" width="13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3.2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6.5" customHeight="1"/>
    <row r="5" spans="1:18">
      <c r="B5" s="1" t="s">
        <v>0</v>
      </c>
      <c r="D5" s="299" t="s">
        <v>69</v>
      </c>
      <c r="E5" s="299"/>
      <c r="F5" s="299"/>
    </row>
    <row r="6" spans="1:18">
      <c r="B6" s="1" t="s">
        <v>1</v>
      </c>
      <c r="D6" s="17">
        <v>1961</v>
      </c>
      <c r="E6" s="17"/>
      <c r="F6" s="17"/>
    </row>
    <row r="7" spans="1:18" hidden="1" outlineLevel="1">
      <c r="B7" s="1" t="s">
        <v>2</v>
      </c>
      <c r="D7" s="17">
        <v>2</v>
      </c>
      <c r="E7" s="17"/>
      <c r="F7" s="17"/>
    </row>
    <row r="8" spans="1:18" hidden="1" outlineLevel="1">
      <c r="B8" s="1" t="s">
        <v>3</v>
      </c>
      <c r="D8" s="17">
        <v>16</v>
      </c>
      <c r="E8" s="17"/>
      <c r="F8" s="17"/>
    </row>
    <row r="9" spans="1:18" ht="30.75" hidden="1" customHeight="1" outlineLevel="1">
      <c r="B9" s="2" t="s">
        <v>4</v>
      </c>
      <c r="C9" s="47"/>
      <c r="D9" s="17" t="s">
        <v>70</v>
      </c>
      <c r="E9" s="17"/>
      <c r="F9" s="17"/>
    </row>
    <row r="10" spans="1:18" collapsed="1">
      <c r="B10" s="1" t="s">
        <v>5</v>
      </c>
      <c r="D10" s="17" t="s">
        <v>71</v>
      </c>
      <c r="E10" s="17"/>
      <c r="F10" s="17"/>
      <c r="J10" s="10"/>
    </row>
    <row r="11" spans="1:18" hidden="1" outlineLevel="1">
      <c r="B11" s="1" t="s">
        <v>6</v>
      </c>
      <c r="D11" s="17" t="s">
        <v>16</v>
      </c>
      <c r="E11" s="17"/>
      <c r="F11" s="17"/>
    </row>
    <row r="12" spans="1:18" ht="30.75" hidden="1" customHeight="1" outlineLevel="1">
      <c r="B12" s="2" t="s">
        <v>7</v>
      </c>
      <c r="C12" s="47"/>
      <c r="D12" s="323" t="s">
        <v>72</v>
      </c>
      <c r="E12" s="323"/>
      <c r="F12" s="17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30782.21</v>
      </c>
      <c r="O15" s="341">
        <v>34699.26</v>
      </c>
      <c r="P15" s="346">
        <f>31223.54*0.98</f>
        <v>30599.069200000002</v>
      </c>
      <c r="Q15" s="341">
        <f>34914.74*0.98</f>
        <v>34216.445199999995</v>
      </c>
      <c r="R15" s="339">
        <f>(N15+O15)/(P15+Q15)*100</f>
        <v>101.02746326425822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7776.6405262862918</v>
      </c>
      <c r="H16" s="81">
        <f>($P$15/$P$16*E16)+($Q$15/$Q$16*F16)</f>
        <v>7698.9672909651381</v>
      </c>
      <c r="I16" s="82">
        <f>H16-G16</f>
        <v>-77.673235321153697</v>
      </c>
      <c r="J16" s="171"/>
      <c r="K16" s="171"/>
      <c r="L16" s="12"/>
      <c r="M16" s="13"/>
      <c r="N16" s="342">
        <v>8.11</v>
      </c>
      <c r="O16" s="341">
        <v>9.24</v>
      </c>
      <c r="P16" s="342">
        <v>8.11</v>
      </c>
      <c r="Q16" s="341">
        <v>9.24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0</v>
      </c>
      <c r="F17" s="221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2076.7037559050077</v>
      </c>
      <c r="H18" s="81">
        <f t="shared" si="1"/>
        <v>2056.2725442999663</v>
      </c>
      <c r="I18" s="82">
        <f t="shared" si="2"/>
        <v>-20.431211605041426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0.12</v>
      </c>
      <c r="F19" s="221">
        <v>0.04</v>
      </c>
      <c r="G19" s="80">
        <f t="shared" si="0"/>
        <v>605.68367831921478</v>
      </c>
      <c r="H19" s="81">
        <f t="shared" si="1"/>
        <v>600.88371941860032</v>
      </c>
      <c r="I19" s="82">
        <f t="shared" si="2"/>
        <v>-4.7999589006144561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9321.5595544221505</v>
      </c>
      <c r="H20" s="81">
        <f t="shared" si="1"/>
        <v>9226.3198950827627</v>
      </c>
      <c r="I20" s="82">
        <f t="shared" si="2"/>
        <v>-95.239659339387799</v>
      </c>
      <c r="J20" s="171"/>
      <c r="K20" s="171"/>
      <c r="N20" s="341"/>
      <c r="O20" s="341"/>
      <c r="P20" s="341"/>
      <c r="Q20" s="341"/>
    </row>
    <row r="21" spans="2:17" ht="154.5" customHeight="1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3.33</v>
      </c>
      <c r="G21" s="80">
        <f t="shared" si="0"/>
        <v>26435.05682426698</v>
      </c>
      <c r="H21" s="81">
        <f t="shared" si="1"/>
        <v>26178.179093633</v>
      </c>
      <c r="I21" s="82">
        <f t="shared" si="2"/>
        <v>-256.87773063397981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14303.7</v>
      </c>
      <c r="H22" s="53">
        <v>14430.29</v>
      </c>
      <c r="I22" s="82">
        <f t="shared" si="2"/>
        <v>126.59000000000015</v>
      </c>
      <c r="J22" s="171"/>
      <c r="K22" s="171"/>
      <c r="N22" s="341"/>
      <c r="O22" s="341"/>
      <c r="P22" s="341"/>
      <c r="Q22" s="341"/>
    </row>
    <row r="23" spans="2:17" ht="106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1623.6486699921534</v>
      </c>
      <c r="H23" s="81">
        <f t="shared" ref="H23" si="3">($P$15/$P$16*E23)+($Q$15/$Q$16*F23)</f>
        <v>1607.7075451967266</v>
      </c>
      <c r="I23" s="82">
        <f t="shared" si="2"/>
        <v>-15.941124795426731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4.8499999999999996</v>
      </c>
      <c r="F24" s="221">
        <v>4.8499999999999996</v>
      </c>
      <c r="G24" s="80">
        <v>36817.19</v>
      </c>
      <c r="H24" s="130">
        <v>14968</v>
      </c>
      <c r="I24" s="82">
        <f t="shared" si="2"/>
        <v>-21849.190000000002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8102.5436032155267</v>
      </c>
      <c r="H25" s="81">
        <f t="shared" ref="H25:H27" si="4">($P$15/$P$16*E25)+($Q$15/$Q$16*F25)</f>
        <v>8011.266449994394</v>
      </c>
      <c r="I25" s="82">
        <f t="shared" si="2"/>
        <v>-91.277153221132721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4065.82160255897</v>
      </c>
      <c r="H26" s="81">
        <f t="shared" si="4"/>
        <v>4016.8063508089522</v>
      </c>
      <c r="I26" s="82">
        <f t="shared" si="2"/>
        <v>-49.015251750017796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0.71</v>
      </c>
      <c r="F27" s="237">
        <v>0.74</v>
      </c>
      <c r="G27" s="238">
        <f t="shared" si="0"/>
        <v>5473.8117850337085</v>
      </c>
      <c r="H27" s="108">
        <f t="shared" si="4"/>
        <v>5419.1115106004554</v>
      </c>
      <c r="I27" s="109">
        <f t="shared" si="2"/>
        <v>-54.700274433253071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14.900000000000002</v>
      </c>
      <c r="F28" s="113">
        <f>SUM(F16:F27)</f>
        <v>16.09</v>
      </c>
      <c r="G28" s="114">
        <f>SUM(G16:G27)</f>
        <v>116602.36</v>
      </c>
      <c r="H28" s="115">
        <f>SUM(H16:H27)</f>
        <v>94213.804399999994</v>
      </c>
      <c r="I28" s="116">
        <f>H28-G28</f>
        <v>-22388.555600000007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116602.36</v>
      </c>
      <c r="E32" s="296"/>
      <c r="F32" s="295">
        <f>30782.21+34699.26+14303.7</f>
        <v>79785.17</v>
      </c>
      <c r="G32" s="296"/>
      <c r="H32" s="295">
        <f>G24</f>
        <v>36817.19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112980.51999999999</v>
      </c>
      <c r="E33" s="296"/>
      <c r="F33" s="295">
        <f>30070.34+33896.8+13047.62</f>
        <v>77014.759999999995</v>
      </c>
      <c r="G33" s="296"/>
      <c r="H33" s="295">
        <v>35965.760000000002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94213.804400000008</v>
      </c>
      <c r="E34" s="315"/>
      <c r="F34" s="314">
        <f>H16+H17+H18+H19+H20+H21+H22+H23+H25+H26+H27</f>
        <v>79245.804400000008</v>
      </c>
      <c r="G34" s="315"/>
      <c r="H34" s="314">
        <f>H24</f>
        <v>14968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18766.715599999989</v>
      </c>
      <c r="E35" s="318"/>
      <c r="F35" s="319">
        <f>F33-F34</f>
        <v>-2231.0444000000134</v>
      </c>
      <c r="G35" s="320"/>
      <c r="H35" s="319">
        <f>H33-H34</f>
        <v>20997.760000000002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</row>
    <row r="43" spans="2:17" ht="9" customHeight="1">
      <c r="E43" s="285" t="s">
        <v>12</v>
      </c>
      <c r="F43" s="285"/>
      <c r="G43" s="3"/>
      <c r="I43" s="3"/>
    </row>
  </sheetData>
  <mergeCells count="41">
    <mergeCell ref="E43:F43"/>
    <mergeCell ref="E40:F40"/>
    <mergeCell ref="G40:H40"/>
    <mergeCell ref="E41:F41"/>
    <mergeCell ref="E42:F42"/>
    <mergeCell ref="G42:H42"/>
    <mergeCell ref="E37:F37"/>
    <mergeCell ref="G37:H37"/>
    <mergeCell ref="E38:F38"/>
    <mergeCell ref="G38:H38"/>
    <mergeCell ref="E39:F39"/>
    <mergeCell ref="G39:H39"/>
    <mergeCell ref="D34:E34"/>
    <mergeCell ref="F34:G34"/>
    <mergeCell ref="H34:I34"/>
    <mergeCell ref="H35:I35"/>
    <mergeCell ref="E36:F36"/>
    <mergeCell ref="G36:H36"/>
    <mergeCell ref="F35:G35"/>
    <mergeCell ref="D35:E35"/>
    <mergeCell ref="D32:E32"/>
    <mergeCell ref="F32:G32"/>
    <mergeCell ref="H32:I32"/>
    <mergeCell ref="D33:E33"/>
    <mergeCell ref="F33:G33"/>
    <mergeCell ref="H33:I33"/>
    <mergeCell ref="B30:I30"/>
    <mergeCell ref="D31:E31"/>
    <mergeCell ref="F31:G31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H31:I31"/>
  </mergeCells>
  <printOptions horizontalCentered="1"/>
  <pageMargins left="0.19685039370078741" right="0.19685039370078741" top="0.19685039370078741" bottom="0.23622047244094491" header="0.15748031496062992" footer="0.23622047244094491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2.7109375" style="46" customWidth="1"/>
    <col min="4" max="4" width="9.140625" style="3" customWidth="1"/>
    <col min="5" max="5" width="9.85546875" style="3" customWidth="1"/>
    <col min="6" max="6" width="11.28515625" style="3" customWidth="1"/>
    <col min="7" max="7" width="10" style="1" customWidth="1"/>
    <col min="8" max="8" width="10.42578125" style="1" customWidth="1"/>
    <col min="9" max="9" width="10.85546875" style="1" customWidth="1"/>
    <col min="10" max="10" width="10.7109375" style="1" bestFit="1" customWidth="1"/>
    <col min="11" max="11" width="14.28515625" style="1" customWidth="1"/>
    <col min="12" max="12" width="9.140625" style="1"/>
    <col min="13" max="13" width="11.7109375" style="1" customWidth="1"/>
    <col min="14" max="14" width="12.7109375" style="339" customWidth="1"/>
    <col min="15" max="15" width="11.140625" style="339" customWidth="1"/>
    <col min="16" max="16" width="11.7109375" style="339" customWidth="1"/>
    <col min="17" max="17" width="12.140625" style="339" customWidth="1"/>
    <col min="18" max="19" width="9.140625" style="339"/>
    <col min="20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5.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5" customHeight="1"/>
    <row r="5" spans="2:18">
      <c r="B5" s="1" t="s">
        <v>0</v>
      </c>
      <c r="D5" s="299" t="s">
        <v>73</v>
      </c>
      <c r="E5" s="299"/>
      <c r="F5" s="299"/>
    </row>
    <row r="6" spans="2:18">
      <c r="B6" s="1" t="s">
        <v>1</v>
      </c>
      <c r="D6" s="17">
        <v>1961</v>
      </c>
      <c r="E6" s="17"/>
      <c r="F6" s="17"/>
    </row>
    <row r="7" spans="2:18" hidden="1" outlineLevel="1">
      <c r="B7" s="1" t="s">
        <v>2</v>
      </c>
      <c r="D7" s="17">
        <v>2</v>
      </c>
      <c r="E7" s="17"/>
      <c r="F7" s="17"/>
    </row>
    <row r="8" spans="2:18" hidden="1" outlineLevel="1">
      <c r="B8" s="1" t="s">
        <v>3</v>
      </c>
      <c r="D8" s="17">
        <v>14</v>
      </c>
      <c r="E8" s="17"/>
      <c r="F8" s="17"/>
    </row>
    <row r="9" spans="2:18" ht="30.75" hidden="1" customHeight="1" outlineLevel="1">
      <c r="B9" s="2" t="s">
        <v>4</v>
      </c>
      <c r="C9" s="47"/>
      <c r="D9" s="17" t="s">
        <v>74</v>
      </c>
      <c r="E9" s="17"/>
      <c r="F9" s="17"/>
    </row>
    <row r="10" spans="2:18" collapsed="1">
      <c r="B10" s="1" t="s">
        <v>5</v>
      </c>
      <c r="D10" s="17" t="s">
        <v>75</v>
      </c>
      <c r="E10" s="17"/>
      <c r="F10" s="17"/>
      <c r="J10" s="10"/>
    </row>
    <row r="11" spans="2:18" hidden="1" outlineLevel="1">
      <c r="B11" s="1" t="s">
        <v>6</v>
      </c>
      <c r="D11" s="17" t="s">
        <v>76</v>
      </c>
      <c r="E11" s="17"/>
      <c r="F11" s="17"/>
    </row>
    <row r="12" spans="2:18" ht="30.75" hidden="1" customHeight="1" outlineLevel="1">
      <c r="B12" s="2" t="s">
        <v>7</v>
      </c>
      <c r="C12" s="47"/>
      <c r="D12" s="323" t="s">
        <v>77</v>
      </c>
      <c r="E12" s="323"/>
      <c r="F12" s="17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27258.92</v>
      </c>
      <c r="O15" s="341">
        <v>30650.84</v>
      </c>
      <c r="P15" s="346">
        <v>27123.32</v>
      </c>
      <c r="Q15" s="341">
        <v>30329.8</v>
      </c>
      <c r="R15" s="339">
        <f>(N15+O15)/(P15+Q15)*100</f>
        <v>100.79480452932756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6953.59592732074</v>
      </c>
      <c r="H16" s="81">
        <f>($P$15/$P$16*E16)+($Q$15/$Q$16*F16)</f>
        <v>6899.6190274422725</v>
      </c>
      <c r="I16" s="82">
        <f>H16-G16</f>
        <v>-53.97689987846752</v>
      </c>
      <c r="J16" s="171"/>
      <c r="K16" s="171"/>
      <c r="L16" s="12"/>
      <c r="M16" s="13"/>
      <c r="N16" s="342">
        <v>8.0299999999999994</v>
      </c>
      <c r="O16" s="341">
        <v>9.1300000000000008</v>
      </c>
      <c r="P16" s="342">
        <v>8.0299999999999994</v>
      </c>
      <c r="Q16" s="341">
        <v>9.1300000000000008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0</v>
      </c>
      <c r="F17" s="221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1856.9301222824049</v>
      </c>
      <c r="H18" s="81">
        <f t="shared" si="1"/>
        <v>1842.7077897642876</v>
      </c>
      <c r="I18" s="82">
        <f t="shared" si="2"/>
        <v>-14.222332518117355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0.12</v>
      </c>
      <c r="F19" s="221">
        <v>0.04</v>
      </c>
      <c r="G19" s="80">
        <f t="shared" si="0"/>
        <v>541.64247925700306</v>
      </c>
      <c r="H19" s="81">
        <f t="shared" si="1"/>
        <v>538.20955033083771</v>
      </c>
      <c r="I19" s="82">
        <f t="shared" si="2"/>
        <v>-3.4329289261653457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8334.9023481222521</v>
      </c>
      <c r="H20" s="81">
        <f t="shared" si="1"/>
        <v>8268.8844849885227</v>
      </c>
      <c r="I20" s="82">
        <f t="shared" si="2"/>
        <v>-66.017863133729406</v>
      </c>
      <c r="J20" s="171"/>
      <c r="K20" s="171"/>
      <c r="N20" s="341"/>
      <c r="O20" s="341"/>
      <c r="P20" s="341"/>
      <c r="Q20" s="341"/>
    </row>
    <row r="21" spans="2:17" ht="154.5" customHeight="1">
      <c r="B21" s="102" t="s">
        <v>282</v>
      </c>
      <c r="C21" s="76" t="s">
        <v>303</v>
      </c>
      <c r="D21" s="77" t="s">
        <v>300</v>
      </c>
      <c r="E21" s="223">
        <v>3.67</v>
      </c>
      <c r="F21" s="221">
        <v>3.33</v>
      </c>
      <c r="G21" s="80">
        <f t="shared" si="0"/>
        <v>23637.642450449366</v>
      </c>
      <c r="H21" s="81">
        <f t="shared" si="1"/>
        <v>23458.574903149332</v>
      </c>
      <c r="I21" s="82">
        <f t="shared" si="2"/>
        <v>-179.06754730003377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12347.1</v>
      </c>
      <c r="H22" s="53">
        <v>12535.33</v>
      </c>
      <c r="I22" s="82">
        <f t="shared" si="2"/>
        <v>188.22999999999956</v>
      </c>
      <c r="J22" s="171"/>
      <c r="K22" s="171"/>
      <c r="N22" s="341"/>
      <c r="O22" s="341"/>
      <c r="P22" s="341"/>
      <c r="Q22" s="341"/>
    </row>
    <row r="23" spans="2:17" ht="106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1451.822617593662</v>
      </c>
      <c r="H23" s="81">
        <f t="shared" ref="H23" si="3">($P$15/$P$16*E23)+($Q$15/$Q$16*F23)</f>
        <v>1440.7232774685292</v>
      </c>
      <c r="I23" s="82">
        <f t="shared" si="2"/>
        <v>-11.099340125132812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2.91</v>
      </c>
      <c r="F24" s="221">
        <v>2.91</v>
      </c>
      <c r="G24" s="80">
        <v>19756.77</v>
      </c>
      <c r="H24" s="130">
        <v>8250</v>
      </c>
      <c r="I24" s="82">
        <f t="shared" si="2"/>
        <v>-11506.77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1.44</v>
      </c>
      <c r="G25" s="80">
        <f t="shared" si="0"/>
        <v>7244.4964761661831</v>
      </c>
      <c r="H25" s="81">
        <f t="shared" ref="H25:H27" si="4">($P$15/$P$16*E25)+($Q$15/$Q$16*F25)</f>
        <v>7181.8719314618365</v>
      </c>
      <c r="I25" s="82">
        <f t="shared" si="2"/>
        <v>-62.62454470434659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3635.0987795765873</v>
      </c>
      <c r="H26" s="81">
        <f t="shared" si="4"/>
        <v>3601.6916562889164</v>
      </c>
      <c r="I26" s="82">
        <f t="shared" si="2"/>
        <v>-33.407123287670856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0.63</v>
      </c>
      <c r="F27" s="237">
        <v>0.63</v>
      </c>
      <c r="G27" s="238">
        <f t="shared" si="0"/>
        <v>4253.6287992317957</v>
      </c>
      <c r="H27" s="108">
        <f t="shared" si="4"/>
        <v>4220.8373791054637</v>
      </c>
      <c r="I27" s="109">
        <f t="shared" si="2"/>
        <v>-32.791420126332014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12.88</v>
      </c>
      <c r="F28" s="113">
        <f>SUM(F16:F27)</f>
        <v>14.040000000000001</v>
      </c>
      <c r="G28" s="114">
        <f>SUM(G16:G27)</f>
        <v>90013.62999999999</v>
      </c>
      <c r="H28" s="115">
        <f>SUM(H16:H27)</f>
        <v>78238.45</v>
      </c>
      <c r="I28" s="116">
        <f>H28-G28</f>
        <v>-11775.179999999993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90013.63</v>
      </c>
      <c r="E32" s="296"/>
      <c r="F32" s="295">
        <f>27258.92+30650.84+12347.1</f>
        <v>70256.86</v>
      </c>
      <c r="G32" s="296"/>
      <c r="H32" s="295">
        <f>G24</f>
        <v>19756.77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66912.69</v>
      </c>
      <c r="E33" s="296"/>
      <c r="F33" s="295">
        <f>20407.97+22947.4+8765.99</f>
        <v>52121.36</v>
      </c>
      <c r="G33" s="296"/>
      <c r="H33" s="295">
        <v>14791.33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78238.45</v>
      </c>
      <c r="E34" s="315"/>
      <c r="F34" s="314">
        <f>H16+H17+H18+H19+H20+H21+H22+H23+H25+H26+H27</f>
        <v>69988.45</v>
      </c>
      <c r="G34" s="315"/>
      <c r="H34" s="314">
        <f>H24</f>
        <v>8250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-11325.759999999997</v>
      </c>
      <c r="E35" s="318"/>
      <c r="F35" s="319">
        <f>F33-F34</f>
        <v>-17867.089999999997</v>
      </c>
      <c r="G35" s="320"/>
      <c r="H35" s="319">
        <f>H33-H34</f>
        <v>6541.33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</row>
    <row r="43" spans="2:17" ht="10.5" customHeight="1">
      <c r="E43" s="285" t="s">
        <v>12</v>
      </c>
      <c r="F43" s="285"/>
    </row>
  </sheetData>
  <mergeCells count="41">
    <mergeCell ref="E43:F43"/>
    <mergeCell ref="E41:F41"/>
    <mergeCell ref="E42:F42"/>
    <mergeCell ref="G42:H4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E38:F38"/>
    <mergeCell ref="G38:H38"/>
    <mergeCell ref="E40:F40"/>
    <mergeCell ref="G40:H4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E36:F36"/>
    <mergeCell ref="G36:H36"/>
    <mergeCell ref="E37:F37"/>
    <mergeCell ref="G37:H37"/>
    <mergeCell ref="G39:H39"/>
    <mergeCell ref="E39:F39"/>
    <mergeCell ref="D5:F5"/>
    <mergeCell ref="D12:E12"/>
    <mergeCell ref="B30:I30"/>
    <mergeCell ref="F35:G35"/>
    <mergeCell ref="H35:I35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140625" style="1" customWidth="1"/>
    <col min="3" max="3" width="12.7109375" style="46" customWidth="1"/>
    <col min="4" max="4" width="9.85546875" style="3" customWidth="1"/>
    <col min="5" max="5" width="9.5703125" style="3" customWidth="1"/>
    <col min="6" max="6" width="9.7109375" style="3" customWidth="1"/>
    <col min="7" max="7" width="9.42578125" style="1" customWidth="1"/>
    <col min="8" max="8" width="10.42578125" style="1" customWidth="1"/>
    <col min="9" max="9" width="10.5703125" style="3" customWidth="1"/>
    <col min="10" max="10" width="10.7109375" style="1" bestFit="1" customWidth="1"/>
    <col min="11" max="11" width="11.7109375" style="1" customWidth="1"/>
    <col min="12" max="12" width="9.140625" style="1"/>
    <col min="13" max="13" width="11.7109375" style="1" customWidth="1"/>
    <col min="14" max="14" width="14.28515625" style="339" customWidth="1"/>
    <col min="15" max="15" width="12.7109375" style="339" customWidth="1"/>
    <col min="16" max="16" width="13.140625" style="339" customWidth="1"/>
    <col min="17" max="17" width="12.140625" style="339" customWidth="1"/>
    <col min="18" max="19" width="9.140625" style="339"/>
    <col min="20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1.7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1.25" customHeight="1"/>
    <row r="5" spans="2:18">
      <c r="B5" s="1" t="s">
        <v>0</v>
      </c>
      <c r="D5" s="299" t="s">
        <v>78</v>
      </c>
      <c r="E5" s="299"/>
      <c r="F5" s="299"/>
    </row>
    <row r="6" spans="2:18">
      <c r="B6" s="1" t="s">
        <v>1</v>
      </c>
      <c r="D6" s="21">
        <v>1962</v>
      </c>
      <c r="E6" s="21"/>
      <c r="F6" s="21"/>
    </row>
    <row r="7" spans="2:18" hidden="1" outlineLevel="1">
      <c r="B7" s="1" t="s">
        <v>2</v>
      </c>
      <c r="D7" s="21">
        <v>2</v>
      </c>
      <c r="E7" s="21"/>
      <c r="F7" s="21"/>
    </row>
    <row r="8" spans="2:18" hidden="1" outlineLevel="1">
      <c r="B8" s="1" t="s">
        <v>3</v>
      </c>
      <c r="D8" s="21">
        <v>16</v>
      </c>
      <c r="E8" s="21"/>
      <c r="F8" s="21"/>
    </row>
    <row r="9" spans="2:18" ht="30.75" hidden="1" customHeight="1" outlineLevel="1">
      <c r="B9" s="2" t="s">
        <v>4</v>
      </c>
      <c r="C9" s="47"/>
      <c r="D9" s="21" t="s">
        <v>79</v>
      </c>
      <c r="E9" s="21"/>
      <c r="F9" s="21"/>
    </row>
    <row r="10" spans="2:18" collapsed="1">
      <c r="B10" s="1" t="s">
        <v>5</v>
      </c>
      <c r="D10" s="21" t="s">
        <v>80</v>
      </c>
      <c r="E10" s="21"/>
      <c r="F10" s="21"/>
      <c r="J10" s="10"/>
    </row>
    <row r="11" spans="2:18" hidden="1" outlineLevel="1">
      <c r="B11" s="1" t="s">
        <v>6</v>
      </c>
      <c r="D11" s="21" t="s">
        <v>81</v>
      </c>
      <c r="E11" s="21"/>
      <c r="F11" s="21"/>
    </row>
    <row r="12" spans="2:18" ht="30.75" hidden="1" customHeight="1" outlineLevel="1">
      <c r="B12" s="2" t="s">
        <v>7</v>
      </c>
      <c r="C12" s="47"/>
      <c r="D12" s="323" t="s">
        <v>82</v>
      </c>
      <c r="E12" s="323"/>
      <c r="F12" s="21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26646</v>
      </c>
      <c r="O15" s="341">
        <v>29097.95</v>
      </c>
      <c r="P15" s="346">
        <f>30771.9*0.85</f>
        <v>26156.115000000002</v>
      </c>
      <c r="Q15" s="341">
        <f>34409.71*0.85</f>
        <v>29248.253499999999</v>
      </c>
      <c r="R15" s="339">
        <f>(N15+O15)/(P15+Q15)*100</f>
        <v>100.61291466574518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7541.4378877074687</v>
      </c>
      <c r="H16" s="81">
        <f>($P$15/$P$16*E16)+($Q$15/$Q$16*F16)</f>
        <v>7492.7303880575728</v>
      </c>
      <c r="I16" s="82">
        <f>H16-G16</f>
        <v>-48.707499649895908</v>
      </c>
      <c r="J16" s="171"/>
      <c r="K16" s="171"/>
      <c r="L16" s="12"/>
      <c r="M16" s="13"/>
      <c r="N16" s="342">
        <v>7.23</v>
      </c>
      <c r="O16" s="341">
        <v>8</v>
      </c>
      <c r="P16" s="342">
        <v>7.23</v>
      </c>
      <c r="Q16" s="341">
        <v>8</v>
      </c>
    </row>
    <row r="17" spans="2:17" ht="51">
      <c r="B17" s="102" t="s">
        <v>301</v>
      </c>
      <c r="C17" s="76" t="s">
        <v>299</v>
      </c>
      <c r="D17" s="77" t="s">
        <v>300</v>
      </c>
      <c r="E17" s="223">
        <v>0</v>
      </c>
      <c r="F17" s="221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23">
        <v>0.28000000000000003</v>
      </c>
      <c r="F18" s="221">
        <v>0.27</v>
      </c>
      <c r="G18" s="80">
        <f t="shared" si="0"/>
        <v>2013.9894224585064</v>
      </c>
      <c r="H18" s="81">
        <f t="shared" si="1"/>
        <v>2000.0901323884855</v>
      </c>
      <c r="I18" s="82">
        <f t="shared" si="2"/>
        <v>-13.899290070020925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23">
        <v>0.03</v>
      </c>
      <c r="F19" s="221">
        <v>0.04</v>
      </c>
      <c r="G19" s="80">
        <f t="shared" si="0"/>
        <v>256.05406535269708</v>
      </c>
      <c r="H19" s="81">
        <f t="shared" si="1"/>
        <v>254.77286501037344</v>
      </c>
      <c r="I19" s="82">
        <f t="shared" si="2"/>
        <v>-1.2812003423236433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23">
        <v>1.1399999999999999</v>
      </c>
      <c r="F20" s="221">
        <v>1.33</v>
      </c>
      <c r="G20" s="80">
        <f t="shared" si="0"/>
        <v>9038.9781709024901</v>
      </c>
      <c r="H20" s="81">
        <f t="shared" si="1"/>
        <v>8986.7228497691904</v>
      </c>
      <c r="I20" s="82">
        <f t="shared" si="2"/>
        <v>-52.255321133299731</v>
      </c>
      <c r="J20" s="171"/>
      <c r="K20" s="171"/>
      <c r="N20" s="341"/>
      <c r="O20" s="341"/>
      <c r="P20" s="341"/>
      <c r="Q20" s="341"/>
    </row>
    <row r="21" spans="2:17" ht="153">
      <c r="B21" s="102" t="s">
        <v>282</v>
      </c>
      <c r="C21" s="76" t="s">
        <v>303</v>
      </c>
      <c r="D21" s="77" t="s">
        <v>300</v>
      </c>
      <c r="E21" s="223">
        <v>3.54</v>
      </c>
      <c r="F21" s="221">
        <v>2.31</v>
      </c>
      <c r="G21" s="80">
        <f t="shared" si="0"/>
        <v>21448.622274118257</v>
      </c>
      <c r="H21" s="81">
        <f t="shared" si="1"/>
        <v>21252.161704349066</v>
      </c>
      <c r="I21" s="82">
        <f t="shared" si="2"/>
        <v>-196.46056976919135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23">
        <v>1.94</v>
      </c>
      <c r="F22" s="221">
        <v>2</v>
      </c>
      <c r="G22" s="80">
        <v>12347.1</v>
      </c>
      <c r="H22" s="53">
        <v>14221.56</v>
      </c>
      <c r="I22" s="82">
        <f t="shared" si="2"/>
        <v>1874.4599999999991</v>
      </c>
      <c r="J22" s="171"/>
      <c r="K22" s="171"/>
      <c r="N22" s="341"/>
      <c r="O22" s="341"/>
      <c r="P22" s="341"/>
      <c r="Q22" s="341"/>
    </row>
    <row r="23" spans="2:17" ht="106.5" customHeight="1">
      <c r="B23" s="102" t="s">
        <v>305</v>
      </c>
      <c r="C23" s="76" t="s">
        <v>299</v>
      </c>
      <c r="D23" s="77" t="s">
        <v>300</v>
      </c>
      <c r="E23" s="223">
        <v>0.22</v>
      </c>
      <c r="F23" s="221">
        <v>0.21</v>
      </c>
      <c r="G23" s="80">
        <f t="shared" si="0"/>
        <v>1574.6261667531119</v>
      </c>
      <c r="H23" s="81">
        <f t="shared" ref="H23" si="3">($P$15/$P$16*E23)+($Q$15/$Q$16*F23)</f>
        <v>1563.6650361177385</v>
      </c>
      <c r="I23" s="82">
        <f t="shared" si="2"/>
        <v>-10.961130635373365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23">
        <v>0</v>
      </c>
      <c r="F24" s="221">
        <v>2.5</v>
      </c>
      <c r="G24" s="80">
        <f>9213.69+22110</f>
        <v>31323.690000000002</v>
      </c>
      <c r="H24" s="130">
        <v>27669</v>
      </c>
      <c r="I24" s="82">
        <f t="shared" si="2"/>
        <v>-3654.6900000000023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23">
        <v>0.71</v>
      </c>
      <c r="F25" s="221">
        <v>1.33</v>
      </c>
      <c r="G25" s="80">
        <f t="shared" si="0"/>
        <v>7454.2229841804983</v>
      </c>
      <c r="H25" s="81">
        <f t="shared" ref="H25:H27" si="4">($P$15/$P$16*E25)+($Q$15/$Q$16*F25)</f>
        <v>7431.1032854538371</v>
      </c>
      <c r="I25" s="82">
        <f t="shared" si="2"/>
        <v>-23.119698726661227</v>
      </c>
      <c r="J25" s="171"/>
      <c r="K25" s="171"/>
      <c r="L25" s="219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23">
        <v>0.25</v>
      </c>
      <c r="F26" s="221">
        <v>0.83</v>
      </c>
      <c r="G26" s="80">
        <f t="shared" si="0"/>
        <v>3940.2816071058091</v>
      </c>
      <c r="H26" s="81">
        <f t="shared" si="4"/>
        <v>3938.9362798781117</v>
      </c>
      <c r="I26" s="82">
        <f t="shared" si="2"/>
        <v>-1.3453272276974531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0.05</v>
      </c>
      <c r="F27" s="237">
        <v>0.63</v>
      </c>
      <c r="G27" s="238">
        <f t="shared" si="0"/>
        <v>2475.7374214211618</v>
      </c>
      <c r="H27" s="108">
        <f t="shared" si="4"/>
        <v>2484.1859589756223</v>
      </c>
      <c r="I27" s="109">
        <f t="shared" si="2"/>
        <v>8.4485375544604722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9.1700000000000017</v>
      </c>
      <c r="F28" s="113">
        <f>SUM(F16:F27)</f>
        <v>12.500000000000002</v>
      </c>
      <c r="G28" s="114">
        <f>SUM(G16:G27)</f>
        <v>99414.739999999991</v>
      </c>
      <c r="H28" s="115">
        <f>SUM(H16:H27)</f>
        <v>97294.928499999995</v>
      </c>
      <c r="I28" s="116">
        <f>H28-G28</f>
        <v>-2119.8114999999962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17"/>
      <c r="K30" s="21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19"/>
      <c r="K31" s="219"/>
      <c r="L31" s="44"/>
      <c r="M31" s="22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101082.74</v>
      </c>
      <c r="E32" s="296"/>
      <c r="F32" s="295">
        <f>26646+29097.95+14015.1</f>
        <v>69759.05</v>
      </c>
      <c r="G32" s="296"/>
      <c r="H32" s="295">
        <f>G24</f>
        <v>31323.690000000002</v>
      </c>
      <c r="I32" s="297"/>
      <c r="J32" s="220"/>
      <c r="K32" s="220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96799.140000000014</v>
      </c>
      <c r="E33" s="296"/>
      <c r="F33" s="295">
        <f>26029.75+28424.99+13824.3</f>
        <v>68279.040000000008</v>
      </c>
      <c r="G33" s="296"/>
      <c r="H33" s="295">
        <f>9000.6+19519.5</f>
        <v>28520.1</v>
      </c>
      <c r="I33" s="297"/>
      <c r="J33" s="220"/>
      <c r="K33" s="220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97294.928499999995</v>
      </c>
      <c r="E34" s="315"/>
      <c r="F34" s="314">
        <f>H16+H17+H18+H19+H20+H21+H22+H23+H25+H26+H27</f>
        <v>69625.928499999995</v>
      </c>
      <c r="G34" s="315"/>
      <c r="H34" s="314">
        <f>H24</f>
        <v>27669</v>
      </c>
      <c r="I34" s="316"/>
      <c r="J34" s="220"/>
      <c r="K34" s="220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-495.78849999998783</v>
      </c>
      <c r="E35" s="318"/>
      <c r="F35" s="319">
        <f>F33-F34</f>
        <v>-1346.8884999999864</v>
      </c>
      <c r="G35" s="320"/>
      <c r="H35" s="319">
        <f>H33-H34</f>
        <v>851.09999999999854</v>
      </c>
      <c r="I35" s="321"/>
      <c r="J35" s="220"/>
      <c r="K35" s="220"/>
      <c r="L35" s="5"/>
      <c r="M35" s="5"/>
      <c r="N35" s="341"/>
      <c r="O35" s="341"/>
      <c r="P35" s="341"/>
      <c r="Q35" s="341"/>
    </row>
    <row r="36" spans="2:17" ht="34.5" customHeight="1">
      <c r="B36" s="215" t="s">
        <v>267</v>
      </c>
      <c r="C36" s="215"/>
      <c r="D36" s="131"/>
      <c r="E36" s="322" t="s">
        <v>10</v>
      </c>
      <c r="F36" s="322"/>
      <c r="G36" s="287" t="s">
        <v>11</v>
      </c>
      <c r="H36" s="287"/>
      <c r="I36" s="215"/>
      <c r="J36" s="215"/>
      <c r="K36" s="215"/>
      <c r="L36" s="6"/>
      <c r="M36" s="6"/>
      <c r="N36" s="344"/>
      <c r="O36" s="344"/>
      <c r="P36" s="344"/>
      <c r="Q36" s="344"/>
    </row>
    <row r="37" spans="2:17" ht="11.25" customHeight="1">
      <c r="B37" s="215"/>
      <c r="C37" s="215"/>
      <c r="D37" s="215"/>
      <c r="E37" s="285" t="s">
        <v>12</v>
      </c>
      <c r="F37" s="285"/>
      <c r="G37" s="288"/>
      <c r="H37" s="288"/>
      <c r="I37" s="218"/>
      <c r="J37" s="218"/>
      <c r="K37" s="218"/>
      <c r="L37" s="6"/>
      <c r="M37" s="6"/>
      <c r="N37" s="344"/>
      <c r="O37" s="344"/>
      <c r="P37" s="344"/>
      <c r="Q37" s="344"/>
    </row>
    <row r="38" spans="2:17">
      <c r="B38" s="215" t="s">
        <v>268</v>
      </c>
      <c r="C38" s="215"/>
      <c r="D38" s="215"/>
      <c r="E38" s="286" t="s">
        <v>10</v>
      </c>
      <c r="F38" s="286"/>
      <c r="G38" s="287" t="s">
        <v>312</v>
      </c>
      <c r="H38" s="287"/>
      <c r="I38" s="215"/>
      <c r="J38" s="215"/>
      <c r="K38" s="215"/>
      <c r="L38" s="6"/>
      <c r="M38" s="6"/>
      <c r="N38" s="344"/>
      <c r="O38" s="344"/>
      <c r="P38" s="344"/>
      <c r="Q38" s="344"/>
    </row>
    <row r="39" spans="2:17" ht="9.75" customHeight="1">
      <c r="B39" s="215"/>
      <c r="C39" s="215"/>
      <c r="D39" s="215"/>
      <c r="E39" s="285" t="s">
        <v>12</v>
      </c>
      <c r="F39" s="285"/>
      <c r="G39" s="287"/>
      <c r="H39" s="287"/>
      <c r="I39" s="215"/>
      <c r="J39" s="215"/>
      <c r="K39" s="215"/>
      <c r="N39" s="341"/>
      <c r="O39" s="341"/>
      <c r="P39" s="341"/>
      <c r="Q39" s="341"/>
    </row>
    <row r="40" spans="2:17">
      <c r="B40" s="215" t="s">
        <v>269</v>
      </c>
      <c r="C40" s="215"/>
      <c r="D40" s="215"/>
      <c r="E40" s="286" t="s">
        <v>10</v>
      </c>
      <c r="F40" s="286"/>
      <c r="G40" s="287" t="s">
        <v>313</v>
      </c>
      <c r="H40" s="287"/>
      <c r="I40" s="215"/>
      <c r="J40" s="215"/>
      <c r="K40" s="21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22"/>
      <c r="J41" s="222"/>
      <c r="K41" s="222"/>
      <c r="N41" s="341"/>
      <c r="O41" s="341"/>
      <c r="P41" s="341"/>
      <c r="Q41" s="341"/>
    </row>
    <row r="42" spans="2:17">
      <c r="B42" s="215" t="s">
        <v>270</v>
      </c>
      <c r="C42" s="215"/>
      <c r="D42" s="215"/>
      <c r="E42" s="286" t="s">
        <v>10</v>
      </c>
      <c r="F42" s="286"/>
      <c r="G42" s="287" t="s">
        <v>244</v>
      </c>
      <c r="H42" s="287"/>
      <c r="I42" s="1"/>
    </row>
    <row r="43" spans="2:17" ht="9.75" customHeight="1">
      <c r="E43" s="285" t="s">
        <v>12</v>
      </c>
      <c r="F43" s="285"/>
      <c r="I43" s="1"/>
    </row>
  </sheetData>
  <mergeCells count="41">
    <mergeCell ref="E43:F43"/>
    <mergeCell ref="B2:I3"/>
    <mergeCell ref="E40:F40"/>
    <mergeCell ref="G40:H40"/>
    <mergeCell ref="E41:F41"/>
    <mergeCell ref="D35:E35"/>
    <mergeCell ref="F35:G35"/>
    <mergeCell ref="H35:I35"/>
    <mergeCell ref="E36:F36"/>
    <mergeCell ref="G36:H36"/>
    <mergeCell ref="H32:I32"/>
    <mergeCell ref="D33:E33"/>
    <mergeCell ref="F33:G33"/>
    <mergeCell ref="H33:I33"/>
    <mergeCell ref="D34:E34"/>
    <mergeCell ref="F34:G34"/>
    <mergeCell ref="E42:F42"/>
    <mergeCell ref="G42:H42"/>
    <mergeCell ref="E37:F37"/>
    <mergeCell ref="G37:H37"/>
    <mergeCell ref="E38:F38"/>
    <mergeCell ref="G38:H38"/>
    <mergeCell ref="E39:F39"/>
    <mergeCell ref="G39:H39"/>
    <mergeCell ref="H34:I34"/>
    <mergeCell ref="D31:E31"/>
    <mergeCell ref="F31:G31"/>
    <mergeCell ref="H31:I31"/>
    <mergeCell ref="D32:E32"/>
    <mergeCell ref="F32:G32"/>
    <mergeCell ref="B30:I30"/>
    <mergeCell ref="D5:F5"/>
    <mergeCell ref="D12:E12"/>
    <mergeCell ref="B13:I13"/>
    <mergeCell ref="B14:B15"/>
    <mergeCell ref="C14:C15"/>
    <mergeCell ref="D14:D15"/>
    <mergeCell ref="E14:E15"/>
    <mergeCell ref="F14:F15"/>
    <mergeCell ref="G14:H14"/>
    <mergeCell ref="I14:I15"/>
  </mergeCells>
  <pageMargins left="0.89" right="0.19685039370078741" top="0.19685039370078741" bottom="0.23622047244094491" header="0.15748031496062992" footer="0.25"/>
  <pageSetup paperSize="9" scale="3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zoomScale="110" zoomScaleNormal="110" workbookViewId="0">
      <selection activeCell="B13" sqref="B13:I13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2.42578125" style="46" customWidth="1"/>
    <col min="4" max="4" width="9.42578125" style="3" customWidth="1"/>
    <col min="5" max="5" width="9.5703125" style="3" customWidth="1"/>
    <col min="6" max="6" width="10" style="3" customWidth="1"/>
    <col min="7" max="7" width="9.7109375" style="1" customWidth="1"/>
    <col min="8" max="8" width="10.42578125" style="1" customWidth="1"/>
    <col min="9" max="9" width="10.7109375" style="3" customWidth="1"/>
    <col min="10" max="10" width="10.7109375" style="1" bestFit="1" customWidth="1"/>
    <col min="11" max="11" width="11.7109375" style="1" customWidth="1"/>
    <col min="12" max="13" width="9.140625" style="1"/>
    <col min="14" max="14" width="16.5703125" style="339" customWidth="1"/>
    <col min="15" max="15" width="12.140625" style="339" customWidth="1"/>
    <col min="16" max="16" width="11.5703125" style="339" customWidth="1"/>
    <col min="17" max="17" width="12.7109375" style="339" customWidth="1"/>
    <col min="18" max="18" width="9.140625" style="339"/>
    <col min="19" max="16384" width="9.140625" style="1"/>
  </cols>
  <sheetData>
    <row r="1" spans="1:18">
      <c r="B1" s="39"/>
      <c r="C1" s="39"/>
      <c r="D1" s="39"/>
      <c r="E1" s="39"/>
      <c r="F1" s="39"/>
      <c r="G1" s="39"/>
      <c r="H1" s="39"/>
      <c r="I1" s="39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  <c r="J2" s="99"/>
      <c r="K2" s="99"/>
    </row>
    <row r="3" spans="1:18" ht="22.5" customHeight="1">
      <c r="A3" s="99"/>
      <c r="B3" s="313"/>
      <c r="C3" s="313"/>
      <c r="D3" s="313"/>
      <c r="E3" s="313"/>
      <c r="F3" s="313"/>
      <c r="G3" s="313"/>
      <c r="H3" s="313"/>
      <c r="I3" s="313"/>
      <c r="J3" s="99"/>
      <c r="K3" s="99"/>
    </row>
    <row r="4" spans="1:18" ht="13.5" customHeight="1"/>
    <row r="5" spans="1:18">
      <c r="B5" s="1" t="s">
        <v>0</v>
      </c>
      <c r="D5" s="299" t="s">
        <v>329</v>
      </c>
      <c r="E5" s="299"/>
      <c r="F5" s="299"/>
    </row>
    <row r="6" spans="1:18">
      <c r="B6" s="1" t="s">
        <v>1</v>
      </c>
      <c r="D6" s="21">
        <v>1977</v>
      </c>
      <c r="E6" s="21"/>
      <c r="F6" s="21"/>
    </row>
    <row r="7" spans="1:18" hidden="1" outlineLevel="1">
      <c r="B7" s="1" t="s">
        <v>2</v>
      </c>
      <c r="D7" s="21">
        <v>5</v>
      </c>
      <c r="E7" s="21"/>
      <c r="F7" s="21"/>
    </row>
    <row r="8" spans="1:18" hidden="1" outlineLevel="1">
      <c r="B8" s="1" t="s">
        <v>3</v>
      </c>
      <c r="D8" s="21">
        <v>56</v>
      </c>
      <c r="E8" s="21"/>
      <c r="F8" s="21"/>
    </row>
    <row r="9" spans="1:18" ht="30.75" hidden="1" customHeight="1" outlineLevel="1">
      <c r="B9" s="2" t="s">
        <v>4</v>
      </c>
      <c r="C9" s="47"/>
      <c r="D9" s="21" t="s">
        <v>83</v>
      </c>
      <c r="E9" s="21"/>
      <c r="F9" s="21"/>
    </row>
    <row r="10" spans="1:18" collapsed="1">
      <c r="B10" s="1" t="s">
        <v>5</v>
      </c>
      <c r="D10" s="66" t="s">
        <v>317</v>
      </c>
      <c r="E10" s="21"/>
      <c r="F10" s="21"/>
      <c r="J10" s="10"/>
    </row>
    <row r="11" spans="1:18" hidden="1" outlineLevel="1">
      <c r="B11" s="1" t="s">
        <v>6</v>
      </c>
      <c r="D11" s="21" t="s">
        <v>84</v>
      </c>
      <c r="E11" s="21"/>
      <c r="F11" s="21"/>
    </row>
    <row r="12" spans="1:18" ht="30.75" hidden="1" customHeight="1" outlineLevel="1">
      <c r="B12" s="2" t="s">
        <v>7</v>
      </c>
      <c r="C12" s="47"/>
      <c r="D12" s="323" t="s">
        <v>85</v>
      </c>
      <c r="E12" s="323"/>
      <c r="F12" s="21"/>
      <c r="J12" s="10"/>
    </row>
    <row r="13" spans="1:18" ht="42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5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40.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f>156584.65+31944.36</f>
        <v>188529.01</v>
      </c>
      <c r="O15" s="341">
        <f>174655.19+63888.73</f>
        <v>238543.92</v>
      </c>
      <c r="P15" s="341">
        <f>137478.96*1.46</f>
        <v>200719.28159999999</v>
      </c>
      <c r="Q15" s="341">
        <f>153731.53*1.46</f>
        <v>224448.0338</v>
      </c>
      <c r="R15" s="339">
        <f>(N15+O15)/(P15+Q15)*100</f>
        <v>100.44820345566951</v>
      </c>
    </row>
    <row r="16" spans="1:18" ht="55.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 t="shared" ref="G16:G26" si="0">($N$15/$N$16*E16)+($O$15/$O$16*F16)</f>
        <v>44156.756085025176</v>
      </c>
      <c r="H16" s="81">
        <f>($P$15/$P$16*E16)+($Q$15/$Q$16*F16)</f>
        <v>44054.283188704721</v>
      </c>
      <c r="I16" s="82">
        <f>H16-G16</f>
        <v>-102.47289632045431</v>
      </c>
      <c r="J16" s="43"/>
      <c r="K16" s="12"/>
      <c r="L16" s="12"/>
      <c r="M16" s="13"/>
      <c r="N16" s="342">
        <v>9.4</v>
      </c>
      <c r="O16" s="341">
        <v>10.48</v>
      </c>
      <c r="P16" s="342">
        <v>9.4</v>
      </c>
      <c r="Q16" s="341">
        <v>10.48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71">
        <v>1.1299999999999999</v>
      </c>
      <c r="F17" s="69">
        <v>1.17</v>
      </c>
      <c r="G17" s="80">
        <f t="shared" si="0"/>
        <v>49294.928335471821</v>
      </c>
      <c r="H17" s="53">
        <f t="shared" ref="H17:H26" si="1">($P$15/$P$16*E17)+($Q$15/$Q$16*F17)</f>
        <v>49186.672650562767</v>
      </c>
      <c r="I17" s="82">
        <f t="shared" ref="I17:I29" si="2">H17-G17</f>
        <v>-108.25568490905425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50.25" customHeight="1">
      <c r="B18" s="84" t="s">
        <v>271</v>
      </c>
      <c r="C18" s="76" t="s">
        <v>299</v>
      </c>
      <c r="D18" s="77" t="s">
        <v>300</v>
      </c>
      <c r="E18" s="71">
        <v>0.28000000000000003</v>
      </c>
      <c r="F18" s="69">
        <v>0.27</v>
      </c>
      <c r="G18" s="80">
        <f t="shared" si="0"/>
        <v>11761.450340100699</v>
      </c>
      <c r="H18" s="53">
        <f t="shared" si="1"/>
        <v>11761.407439818904</v>
      </c>
      <c r="I18" s="82">
        <f t="shared" si="2"/>
        <v>-4.2900281794572948E-2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71">
        <v>0.08</v>
      </c>
      <c r="F19" s="69">
        <v>0.08</v>
      </c>
      <c r="G19" s="80">
        <f t="shared" si="0"/>
        <v>3425.448166964431</v>
      </c>
      <c r="H19" s="53">
        <f t="shared" si="1"/>
        <v>3421.5929745720314</v>
      </c>
      <c r="I19" s="82">
        <f t="shared" si="2"/>
        <v>-3.8551923923996583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71">
        <v>1.1399999999999999</v>
      </c>
      <c r="F20" s="69">
        <v>1.33</v>
      </c>
      <c r="G20" s="80">
        <f t="shared" si="0"/>
        <v>53137.383020464513</v>
      </c>
      <c r="H20" s="53">
        <f t="shared" si="1"/>
        <v>52826.891340132366</v>
      </c>
      <c r="I20" s="82">
        <f t="shared" si="2"/>
        <v>-310.49168033214664</v>
      </c>
      <c r="J20" s="5"/>
      <c r="N20" s="341"/>
      <c r="O20" s="341"/>
      <c r="P20" s="341"/>
      <c r="Q20" s="341"/>
    </row>
    <row r="21" spans="2:18" ht="140.25">
      <c r="B21" s="102" t="s">
        <v>282</v>
      </c>
      <c r="C21" s="76" t="s">
        <v>303</v>
      </c>
      <c r="D21" s="77" t="s">
        <v>300</v>
      </c>
      <c r="E21" s="71">
        <v>3.52</v>
      </c>
      <c r="F21" s="69">
        <v>3.25</v>
      </c>
      <c r="G21" s="80">
        <f t="shared" si="0"/>
        <v>144574.0267510151</v>
      </c>
      <c r="H21" s="53">
        <f t="shared" si="1"/>
        <v>144767.55565922282</v>
      </c>
      <c r="I21" s="82">
        <f t="shared" si="2"/>
        <v>193.52890820772154</v>
      </c>
      <c r="J21" s="34"/>
      <c r="K21" s="6"/>
      <c r="L21" s="6"/>
      <c r="M21" s="11"/>
      <c r="N21" s="344"/>
      <c r="O21" s="344"/>
      <c r="P21" s="344"/>
      <c r="Q21" s="344"/>
    </row>
    <row r="22" spans="2:18" ht="33.75" customHeight="1">
      <c r="B22" s="84" t="s">
        <v>304</v>
      </c>
      <c r="C22" s="76" t="s">
        <v>302</v>
      </c>
      <c r="D22" s="77" t="s">
        <v>300</v>
      </c>
      <c r="E22" s="71">
        <v>1.94</v>
      </c>
      <c r="F22" s="69">
        <v>2.1</v>
      </c>
      <c r="G22" s="80">
        <v>62543.5</v>
      </c>
      <c r="H22" s="53">
        <v>63537.37</v>
      </c>
      <c r="I22" s="82">
        <f t="shared" si="2"/>
        <v>993.87000000000262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71">
        <v>0.22</v>
      </c>
      <c r="F23" s="69">
        <v>0.21</v>
      </c>
      <c r="G23" s="80">
        <f t="shared" si="0"/>
        <v>9192.3642148773761</v>
      </c>
      <c r="H23" s="53">
        <f t="shared" si="1"/>
        <v>9195.2127088898815</v>
      </c>
      <c r="I23" s="82">
        <f t="shared" si="2"/>
        <v>2.8484940125053981</v>
      </c>
      <c r="J23" s="5"/>
      <c r="N23" s="341"/>
      <c r="O23" s="341"/>
      <c r="P23" s="341"/>
      <c r="Q23" s="341"/>
    </row>
    <row r="24" spans="2:18" ht="50.25" customHeight="1">
      <c r="B24" s="84" t="s">
        <v>306</v>
      </c>
      <c r="C24" s="76" t="s">
        <v>299</v>
      </c>
      <c r="D24" s="77" t="s">
        <v>300</v>
      </c>
      <c r="E24" s="71">
        <v>4.22</v>
      </c>
      <c r="F24" s="69">
        <v>4.22</v>
      </c>
      <c r="G24" s="80">
        <f>140593.03+4231.12</f>
        <v>144824.15</v>
      </c>
      <c r="H24" s="53">
        <v>8454</v>
      </c>
      <c r="I24" s="82">
        <f t="shared" si="2"/>
        <v>-136370.15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71">
        <v>0.71</v>
      </c>
      <c r="F25" s="69">
        <v>1.44</v>
      </c>
      <c r="G25" s="80">
        <f t="shared" si="0"/>
        <v>47016.984313870387</v>
      </c>
      <c r="H25" s="53">
        <f t="shared" si="1"/>
        <v>46000.89954570082</v>
      </c>
      <c r="I25" s="82">
        <f t="shared" si="2"/>
        <v>-1016.0847681695668</v>
      </c>
      <c r="J25" s="5"/>
      <c r="K25" s="68"/>
      <c r="L25" s="68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71">
        <v>0.26</v>
      </c>
      <c r="F26" s="69">
        <v>0.73</v>
      </c>
      <c r="G26" s="80">
        <f t="shared" si="0"/>
        <v>21830.76402355043</v>
      </c>
      <c r="H26" s="53">
        <f t="shared" si="1"/>
        <v>21186.071812969789</v>
      </c>
      <c r="I26" s="82">
        <f t="shared" si="2"/>
        <v>-644.69221058064068</v>
      </c>
      <c r="J26" s="5"/>
      <c r="K26" s="85"/>
      <c r="L26" s="85"/>
      <c r="M26" s="10"/>
      <c r="N26" s="345"/>
      <c r="O26" s="345"/>
      <c r="P26" s="341"/>
      <c r="Q26" s="341"/>
    </row>
    <row r="27" spans="2:18" ht="24.75">
      <c r="B27" s="84" t="s">
        <v>284</v>
      </c>
      <c r="C27" s="83" t="s">
        <v>302</v>
      </c>
      <c r="D27" s="77" t="s">
        <v>300</v>
      </c>
      <c r="E27" s="71">
        <v>1.01</v>
      </c>
      <c r="F27" s="69">
        <v>0.87</v>
      </c>
      <c r="G27" s="80">
        <f t="shared" ref="G27" si="3">($N$15/$N$16*E27)+($O$15/$O$16*F27)</f>
        <v>40059.62768807861</v>
      </c>
      <c r="H27" s="53">
        <f t="shared" ref="H27" si="4">($P$15/$P$16*E27)+($Q$15/$Q$16*F27)</f>
        <v>40199.259707407007</v>
      </c>
      <c r="I27" s="82">
        <f t="shared" si="2"/>
        <v>139.63201932839729</v>
      </c>
      <c r="J27" s="5"/>
      <c r="K27" s="85"/>
      <c r="L27" s="85"/>
      <c r="M27" s="10"/>
      <c r="N27" s="341"/>
      <c r="O27" s="341"/>
      <c r="P27" s="341"/>
      <c r="Q27" s="341"/>
    </row>
    <row r="28" spans="2:18">
      <c r="B28" s="84" t="s">
        <v>314</v>
      </c>
      <c r="C28" s="83" t="s">
        <v>315</v>
      </c>
      <c r="D28" s="77" t="s">
        <v>300</v>
      </c>
      <c r="E28" s="71"/>
      <c r="F28" s="69"/>
      <c r="G28" s="80"/>
      <c r="H28" s="53">
        <v>6097.93</v>
      </c>
      <c r="I28" s="82">
        <f t="shared" si="2"/>
        <v>6097.93</v>
      </c>
      <c r="J28" s="5"/>
      <c r="K28" s="85"/>
      <c r="L28" s="85"/>
      <c r="M28" s="10"/>
      <c r="N28" s="341"/>
      <c r="O28" s="341"/>
      <c r="P28" s="341"/>
      <c r="Q28" s="341"/>
    </row>
    <row r="29" spans="2:18" ht="16.5" thickBot="1">
      <c r="B29" s="103" t="s">
        <v>273</v>
      </c>
      <c r="C29" s="104" t="s">
        <v>303</v>
      </c>
      <c r="D29" s="105" t="s">
        <v>300</v>
      </c>
      <c r="E29" s="64">
        <v>0.04</v>
      </c>
      <c r="F29" s="106">
        <v>0.08</v>
      </c>
      <c r="G29" s="107">
        <f t="shared" ref="G29" si="5">($N$15/$N$16*E29)+($O$15/$O$16*F29)</f>
        <v>2623.1970605814522</v>
      </c>
      <c r="H29" s="119">
        <f t="shared" ref="H29" si="6">($P$15/$P$16*E29)+($Q$15/$Q$16*F29)</f>
        <v>2567.4683720188405</v>
      </c>
      <c r="I29" s="109">
        <f t="shared" si="2"/>
        <v>-55.728688562611751</v>
      </c>
      <c r="J29" s="5"/>
      <c r="N29" s="341"/>
      <c r="O29" s="341"/>
      <c r="P29" s="341"/>
      <c r="Q29" s="341"/>
    </row>
    <row r="30" spans="2:18" ht="16.5" thickBot="1">
      <c r="B30" s="110" t="s">
        <v>278</v>
      </c>
      <c r="C30" s="111"/>
      <c r="D30" s="111"/>
      <c r="E30" s="112">
        <f>SUM(E16:E29)</f>
        <v>15.559999999999999</v>
      </c>
      <c r="F30" s="113">
        <f>SUM(F16:F29)</f>
        <v>16.799999999999997</v>
      </c>
      <c r="G30" s="114">
        <f>SUM(G16:G29)</f>
        <v>634440.57999999996</v>
      </c>
      <c r="H30" s="115">
        <f>SUM(H16:H29)</f>
        <v>503256.61539999989</v>
      </c>
      <c r="I30" s="116">
        <f>H30-G30</f>
        <v>-131183.96460000006</v>
      </c>
      <c r="J30" s="5"/>
      <c r="N30" s="341"/>
      <c r="O30" s="341"/>
      <c r="P30" s="341"/>
      <c r="Q30" s="341"/>
    </row>
    <row r="31" spans="2:18">
      <c r="B31" s="10"/>
      <c r="C31" s="10"/>
      <c r="D31" s="10"/>
      <c r="E31" s="46"/>
      <c r="F31" s="46"/>
      <c r="G31" s="3"/>
      <c r="H31" s="3"/>
      <c r="N31" s="341"/>
      <c r="O31" s="341"/>
      <c r="P31" s="341"/>
      <c r="Q31" s="341"/>
      <c r="R31" s="352"/>
    </row>
    <row r="32" spans="2:18" ht="16.5" customHeight="1" thickBot="1">
      <c r="B32" s="326" t="s">
        <v>308</v>
      </c>
      <c r="C32" s="326"/>
      <c r="D32" s="326"/>
      <c r="E32" s="326"/>
      <c r="F32" s="326"/>
      <c r="G32" s="326"/>
      <c r="H32" s="326"/>
      <c r="I32" s="326"/>
      <c r="J32" s="40"/>
      <c r="K32" s="40"/>
      <c r="N32" s="341"/>
      <c r="O32" s="341"/>
      <c r="P32" s="341"/>
      <c r="Q32" s="341"/>
    </row>
    <row r="33" spans="2:18" ht="51" customHeight="1">
      <c r="B33" s="56"/>
      <c r="C33" s="91"/>
      <c r="D33" s="290" t="s">
        <v>309</v>
      </c>
      <c r="E33" s="291"/>
      <c r="F33" s="292" t="s">
        <v>8</v>
      </c>
      <c r="G33" s="293"/>
      <c r="H33" s="292" t="s">
        <v>9</v>
      </c>
      <c r="I33" s="294"/>
      <c r="J33" s="123"/>
      <c r="K33" s="124"/>
      <c r="L33" s="44"/>
      <c r="M33" s="67"/>
      <c r="N33" s="345"/>
      <c r="O33" s="345"/>
      <c r="P33" s="345"/>
      <c r="Q33" s="345"/>
    </row>
    <row r="34" spans="2:18">
      <c r="B34" s="57" t="s">
        <v>18</v>
      </c>
      <c r="C34" s="94"/>
      <c r="D34" s="295">
        <f>F34+H34</f>
        <v>634440.57999999996</v>
      </c>
      <c r="E34" s="296"/>
      <c r="F34" s="295">
        <f>156584.65+174655.19+62543.5+95833.09</f>
        <v>489616.42999999993</v>
      </c>
      <c r="G34" s="296"/>
      <c r="H34" s="295">
        <f>G24</f>
        <v>144824.15</v>
      </c>
      <c r="I34" s="297"/>
      <c r="J34" s="125"/>
      <c r="K34" s="126"/>
      <c r="L34" s="5"/>
      <c r="M34" s="5"/>
      <c r="N34" s="341"/>
      <c r="O34" s="341"/>
      <c r="P34" s="341"/>
      <c r="Q34" s="341"/>
    </row>
    <row r="35" spans="2:18">
      <c r="B35" s="57" t="s">
        <v>19</v>
      </c>
      <c r="C35" s="94"/>
      <c r="D35" s="295">
        <f>F35+H35</f>
        <v>593248.26</v>
      </c>
      <c r="E35" s="296"/>
      <c r="F35" s="295">
        <f>154943.51+172824.65+59480.37+62649.12</f>
        <v>449897.65</v>
      </c>
      <c r="G35" s="296"/>
      <c r="H35" s="295">
        <f>139119.49+4231.12</f>
        <v>143350.60999999999</v>
      </c>
      <c r="I35" s="297"/>
      <c r="J35" s="125"/>
      <c r="K35" s="126"/>
      <c r="L35" s="42"/>
      <c r="M35" s="5"/>
      <c r="N35" s="341"/>
      <c r="O35" s="341"/>
      <c r="P35" s="341"/>
      <c r="Q35" s="341"/>
    </row>
    <row r="36" spans="2:18" ht="16.5" thickBot="1">
      <c r="B36" s="58" t="s">
        <v>277</v>
      </c>
      <c r="C36" s="96"/>
      <c r="D36" s="314">
        <f>F36+H36</f>
        <v>503256.61539999989</v>
      </c>
      <c r="E36" s="315"/>
      <c r="F36" s="314">
        <f>H16+H17+H18+H19+H20+H21+H22+H23+H25+H26+H27+H29+H28</f>
        <v>494802.61539999989</v>
      </c>
      <c r="G36" s="315"/>
      <c r="H36" s="314">
        <f>H24</f>
        <v>8454</v>
      </c>
      <c r="I36" s="316"/>
      <c r="J36" s="125"/>
      <c r="K36" s="126"/>
      <c r="L36" s="5"/>
      <c r="M36" s="5"/>
      <c r="N36" s="341"/>
      <c r="O36" s="341"/>
      <c r="P36" s="341"/>
      <c r="Q36" s="341"/>
    </row>
    <row r="37" spans="2:18" ht="27" thickBot="1">
      <c r="B37" s="60" t="s">
        <v>245</v>
      </c>
      <c r="C37" s="98"/>
      <c r="D37" s="317">
        <f>F37+H37</f>
        <v>89991.644600000116</v>
      </c>
      <c r="E37" s="318"/>
      <c r="F37" s="319">
        <f>F35-F36</f>
        <v>-44904.96539999987</v>
      </c>
      <c r="G37" s="320"/>
      <c r="H37" s="319">
        <f>H35-H36</f>
        <v>134896.60999999999</v>
      </c>
      <c r="I37" s="321"/>
      <c r="J37" s="125"/>
      <c r="K37" s="126"/>
      <c r="L37" s="5"/>
      <c r="M37" s="5"/>
      <c r="N37" s="341"/>
      <c r="O37" s="341"/>
      <c r="P37" s="341"/>
      <c r="Q37" s="341"/>
    </row>
    <row r="38" spans="2:18" ht="35.25" customHeight="1">
      <c r="B38" s="73" t="s">
        <v>267</v>
      </c>
      <c r="C38" s="73"/>
      <c r="D38" s="73"/>
      <c r="E38" s="327" t="s">
        <v>10</v>
      </c>
      <c r="F38" s="327"/>
      <c r="G38" s="287" t="s">
        <v>11</v>
      </c>
      <c r="H38" s="287"/>
      <c r="I38" s="127"/>
      <c r="J38" s="127"/>
      <c r="K38" s="6"/>
      <c r="L38" s="6"/>
      <c r="M38" s="6"/>
      <c r="N38" s="344"/>
      <c r="O38" s="344"/>
      <c r="P38" s="344"/>
      <c r="Q38" s="344"/>
      <c r="R38" s="351"/>
    </row>
    <row r="39" spans="2:18" ht="10.5" customHeight="1">
      <c r="B39" s="73"/>
      <c r="C39" s="73"/>
      <c r="D39" s="73"/>
      <c r="E39" s="285" t="s">
        <v>12</v>
      </c>
      <c r="F39" s="285"/>
      <c r="G39" s="288"/>
      <c r="H39" s="288"/>
      <c r="I39" s="127"/>
      <c r="J39" s="127"/>
      <c r="K39" s="6"/>
      <c r="L39" s="6"/>
      <c r="M39" s="6"/>
      <c r="N39" s="344"/>
      <c r="O39" s="344"/>
      <c r="P39" s="344"/>
      <c r="Q39" s="344"/>
      <c r="R39" s="351"/>
    </row>
    <row r="40" spans="2:18">
      <c r="B40" s="73" t="s">
        <v>268</v>
      </c>
      <c r="C40" s="73"/>
      <c r="D40" s="73"/>
      <c r="E40" s="286" t="s">
        <v>10</v>
      </c>
      <c r="F40" s="286"/>
      <c r="G40" s="287" t="s">
        <v>312</v>
      </c>
      <c r="H40" s="287"/>
      <c r="I40" s="127"/>
      <c r="J40" s="127"/>
      <c r="K40" s="6"/>
      <c r="L40" s="6"/>
      <c r="M40" s="6"/>
      <c r="N40" s="344"/>
      <c r="O40" s="344"/>
      <c r="P40" s="344"/>
      <c r="Q40" s="344"/>
      <c r="R40" s="351"/>
    </row>
    <row r="41" spans="2:18" ht="8.25" customHeight="1">
      <c r="B41" s="73"/>
      <c r="C41" s="73"/>
      <c r="D41" s="73"/>
      <c r="E41" s="285" t="s">
        <v>12</v>
      </c>
      <c r="F41" s="285"/>
      <c r="G41" s="287"/>
      <c r="H41" s="287"/>
      <c r="I41" s="127"/>
      <c r="J41" s="127"/>
      <c r="N41" s="341"/>
      <c r="O41" s="341"/>
      <c r="P41" s="341"/>
      <c r="Q41" s="341"/>
    </row>
    <row r="42" spans="2:18">
      <c r="B42" s="73" t="s">
        <v>269</v>
      </c>
      <c r="C42" s="73"/>
      <c r="D42" s="73"/>
      <c r="E42" s="286" t="s">
        <v>10</v>
      </c>
      <c r="F42" s="286"/>
      <c r="G42" s="287" t="s">
        <v>313</v>
      </c>
      <c r="H42" s="287"/>
      <c r="I42" s="127"/>
      <c r="J42" s="127"/>
      <c r="N42" s="341"/>
      <c r="O42" s="341"/>
      <c r="P42" s="341"/>
      <c r="Q42" s="341"/>
    </row>
    <row r="43" spans="2:18" ht="10.5" customHeight="1">
      <c r="B43" s="61"/>
      <c r="C43" s="61"/>
      <c r="D43" s="61"/>
      <c r="E43" s="285" t="s">
        <v>12</v>
      </c>
      <c r="F43" s="285"/>
      <c r="G43" s="100"/>
      <c r="H43" s="117"/>
      <c r="I43" s="282"/>
      <c r="J43" s="62"/>
      <c r="N43" s="341"/>
      <c r="O43" s="341"/>
      <c r="P43" s="341"/>
      <c r="Q43" s="341"/>
    </row>
    <row r="44" spans="2:18">
      <c r="B44" s="73" t="s">
        <v>270</v>
      </c>
      <c r="C44" s="73"/>
      <c r="D44" s="73"/>
      <c r="E44" s="286" t="s">
        <v>10</v>
      </c>
      <c r="F44" s="286"/>
      <c r="G44" s="287" t="s">
        <v>244</v>
      </c>
      <c r="H44" s="287"/>
      <c r="I44" s="127"/>
      <c r="J44" s="127"/>
      <c r="N44" s="341"/>
      <c r="O44" s="341"/>
      <c r="P44" s="341"/>
      <c r="Q44" s="341"/>
    </row>
    <row r="45" spans="2:18" ht="12" customHeight="1">
      <c r="B45" s="39"/>
      <c r="C45" s="39"/>
      <c r="D45" s="39"/>
      <c r="E45" s="285" t="s">
        <v>12</v>
      </c>
      <c r="F45" s="285"/>
      <c r="G45" s="285"/>
      <c r="H45" s="285"/>
      <c r="J45" s="3"/>
      <c r="N45" s="341"/>
      <c r="O45" s="341"/>
      <c r="P45" s="341"/>
      <c r="Q45" s="341"/>
    </row>
    <row r="46" spans="2:18">
      <c r="B46" s="39"/>
      <c r="C46" s="39"/>
      <c r="D46" s="39"/>
      <c r="E46" s="118"/>
      <c r="F46" s="118"/>
      <c r="G46" s="20"/>
      <c r="H46" s="20"/>
      <c r="N46" s="341"/>
      <c r="O46" s="341"/>
      <c r="P46" s="341"/>
      <c r="Q46" s="341"/>
    </row>
    <row r="47" spans="2:18">
      <c r="C47" s="50"/>
      <c r="I47" s="1"/>
    </row>
    <row r="48" spans="2:18">
      <c r="C48" s="50"/>
      <c r="I48" s="1"/>
    </row>
    <row r="49" spans="3:9">
      <c r="C49" s="50"/>
      <c r="I49" s="1"/>
    </row>
    <row r="50" spans="3:9">
      <c r="C50" s="50"/>
      <c r="E50" s="65"/>
      <c r="I50" s="1"/>
    </row>
  </sheetData>
  <mergeCells count="42">
    <mergeCell ref="F34:G34"/>
    <mergeCell ref="H34:I34"/>
    <mergeCell ref="B2:I3"/>
    <mergeCell ref="D5:F5"/>
    <mergeCell ref="D12:E12"/>
    <mergeCell ref="F33:G33"/>
    <mergeCell ref="H33:I33"/>
    <mergeCell ref="D33:E33"/>
    <mergeCell ref="B13:I13"/>
    <mergeCell ref="B14:B15"/>
    <mergeCell ref="C14:C15"/>
    <mergeCell ref="D37:E37"/>
    <mergeCell ref="F36:G36"/>
    <mergeCell ref="H36:I36"/>
    <mergeCell ref="F37:G37"/>
    <mergeCell ref="H37:I37"/>
    <mergeCell ref="E39:F39"/>
    <mergeCell ref="G39:H39"/>
    <mergeCell ref="B32:I32"/>
    <mergeCell ref="D14:D15"/>
    <mergeCell ref="E14:E15"/>
    <mergeCell ref="F14:F15"/>
    <mergeCell ref="G14:H14"/>
    <mergeCell ref="I14:I15"/>
    <mergeCell ref="E38:F38"/>
    <mergeCell ref="G38:H38"/>
    <mergeCell ref="F35:G35"/>
    <mergeCell ref="H35:I35"/>
    <mergeCell ref="D34:E34"/>
    <mergeCell ref="D35:E35"/>
    <mergeCell ref="D36:E36"/>
    <mergeCell ref="E40:F40"/>
    <mergeCell ref="G40:H40"/>
    <mergeCell ref="E41:F41"/>
    <mergeCell ref="G41:H41"/>
    <mergeCell ref="E45:F45"/>
    <mergeCell ref="G45:H45"/>
    <mergeCell ref="E42:F42"/>
    <mergeCell ref="G42:H42"/>
    <mergeCell ref="E43:F43"/>
    <mergeCell ref="E44:F44"/>
    <mergeCell ref="G44:H44"/>
  </mergeCells>
  <printOptions horizontalCentered="1"/>
  <pageMargins left="0.35433070866141736" right="0.19685039370078741" top="0.15748031496062992" bottom="0.23622047244094491" header="0.31496062992125984" footer="0.23622047244094491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5703125" style="1" customWidth="1"/>
    <col min="3" max="3" width="12.140625" style="46" customWidth="1"/>
    <col min="4" max="4" width="8.7109375" style="3" customWidth="1"/>
    <col min="5" max="5" width="10.5703125" style="3" customWidth="1"/>
    <col min="6" max="6" width="10.28515625" style="3" customWidth="1"/>
    <col min="7" max="8" width="10.28515625" style="1" customWidth="1"/>
    <col min="9" max="9" width="10.140625" style="3" customWidth="1"/>
    <col min="10" max="10" width="10.7109375" style="1" bestFit="1" customWidth="1"/>
    <col min="11" max="11" width="11.7109375" style="1" customWidth="1"/>
    <col min="12" max="12" width="9.140625" style="1"/>
    <col min="13" max="13" width="12.42578125" style="1" customWidth="1"/>
    <col min="14" max="15" width="12" style="339" customWidth="1"/>
    <col min="16" max="16" width="10.7109375" style="339" customWidth="1"/>
    <col min="17" max="17" width="11.28515625" style="339" customWidth="1"/>
    <col min="18" max="18" width="9.140625" style="339"/>
    <col min="19" max="16384" width="9.140625" style="1"/>
  </cols>
  <sheetData>
    <row r="1" spans="1:18"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3.2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8.25" customHeight="1"/>
    <row r="5" spans="1:18">
      <c r="B5" s="1" t="s">
        <v>0</v>
      </c>
      <c r="D5" s="299" t="s">
        <v>330</v>
      </c>
      <c r="E5" s="299"/>
      <c r="F5" s="299"/>
    </row>
    <row r="6" spans="1:18">
      <c r="B6" s="1" t="s">
        <v>1</v>
      </c>
      <c r="D6" s="22">
        <v>1978</v>
      </c>
      <c r="E6" s="22"/>
      <c r="F6" s="22"/>
    </row>
    <row r="7" spans="1:18" hidden="1" outlineLevel="1">
      <c r="B7" s="1" t="s">
        <v>2</v>
      </c>
      <c r="D7" s="22">
        <v>5</v>
      </c>
      <c r="E7" s="22"/>
      <c r="F7" s="22"/>
    </row>
    <row r="8" spans="1:18" hidden="1" outlineLevel="1">
      <c r="B8" s="1" t="s">
        <v>3</v>
      </c>
      <c r="D8" s="22">
        <v>56</v>
      </c>
      <c r="E8" s="22"/>
      <c r="F8" s="22"/>
    </row>
    <row r="9" spans="1:18" ht="30.75" hidden="1" customHeight="1" outlineLevel="1">
      <c r="B9" s="2" t="s">
        <v>4</v>
      </c>
      <c r="C9" s="47"/>
      <c r="D9" s="22" t="s">
        <v>86</v>
      </c>
      <c r="E9" s="22"/>
      <c r="F9" s="22"/>
    </row>
    <row r="10" spans="1:18" collapsed="1">
      <c r="B10" s="1" t="s">
        <v>5</v>
      </c>
      <c r="D10" s="284" t="s">
        <v>328</v>
      </c>
      <c r="E10" s="22"/>
      <c r="F10" s="22"/>
      <c r="J10" s="10"/>
    </row>
    <row r="11" spans="1:18" hidden="1" outlineLevel="1">
      <c r="B11" s="1" t="s">
        <v>6</v>
      </c>
      <c r="D11" s="22" t="s">
        <v>87</v>
      </c>
      <c r="E11" s="22"/>
      <c r="F11" s="22"/>
    </row>
    <row r="12" spans="1:18" ht="30.75" hidden="1" customHeight="1" outlineLevel="1">
      <c r="B12" s="2" t="s">
        <v>7</v>
      </c>
      <c r="C12" s="47"/>
      <c r="D12" s="323" t="s">
        <v>88</v>
      </c>
      <c r="E12" s="323"/>
      <c r="F12" s="22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27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32" t="s">
        <v>276</v>
      </c>
      <c r="M14" s="10"/>
      <c r="N14" s="340"/>
      <c r="O14" s="340"/>
      <c r="P14" s="340"/>
      <c r="Q14" s="340"/>
      <c r="R14" s="339">
        <v>80</v>
      </c>
    </row>
    <row r="15" spans="1:18" ht="49.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33"/>
      <c r="N15" s="341">
        <v>115788.83</v>
      </c>
      <c r="O15" s="341">
        <v>142365.01999999999</v>
      </c>
      <c r="P15" s="341">
        <f>134662.6*0.9</f>
        <v>121196.34000000001</v>
      </c>
      <c r="Q15" s="341">
        <f>150582.22*0.9</f>
        <v>135523.99799999999</v>
      </c>
      <c r="R15" s="339">
        <f>(N15+O15)/(P15+Q15)*100</f>
        <v>100.55839440348508</v>
      </c>
    </row>
    <row r="16" spans="1:18" ht="49.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 t="shared" ref="G16:G26" si="0">($N$15/$N$16*E16)+($O$15/$O$16*F16)</f>
        <v>31054.265926415355</v>
      </c>
      <c r="H16" s="81">
        <f>($P$15/$P$16*E16)+($Q$15/$Q$16*F16)</f>
        <v>30840.132142889095</v>
      </c>
      <c r="I16" s="82">
        <f>H16-G16</f>
        <v>-214.13378352626023</v>
      </c>
      <c r="J16" s="43"/>
      <c r="K16" s="12"/>
      <c r="L16" s="12"/>
      <c r="M16" s="13"/>
      <c r="N16" s="342">
        <v>8.67</v>
      </c>
      <c r="O16" s="341">
        <v>8.51</v>
      </c>
      <c r="P16" s="342">
        <v>8.67</v>
      </c>
      <c r="Q16" s="341">
        <v>8.51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71">
        <v>1.1299999999999999</v>
      </c>
      <c r="F17" s="69">
        <v>1.17</v>
      </c>
      <c r="G17" s="80">
        <f t="shared" si="0"/>
        <v>34664.376834730021</v>
      </c>
      <c r="H17" s="53">
        <f t="shared" ref="H17:H26" si="1">($P$15/$P$16*E17)+($Q$15/$Q$16*F17)</f>
        <v>34428.621835146114</v>
      </c>
      <c r="I17" s="82">
        <f t="shared" ref="I17:I28" si="2">H17-G17</f>
        <v>-235.75499958390719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50.25" customHeight="1">
      <c r="B18" s="84" t="s">
        <v>271</v>
      </c>
      <c r="C18" s="76" t="s">
        <v>299</v>
      </c>
      <c r="D18" s="77" t="s">
        <v>300</v>
      </c>
      <c r="E18" s="71">
        <v>0.28000000000000003</v>
      </c>
      <c r="F18" s="69">
        <v>0.27</v>
      </c>
      <c r="G18" s="80">
        <f t="shared" si="0"/>
        <v>8256.3006740424789</v>
      </c>
      <c r="H18" s="53">
        <f t="shared" si="1"/>
        <v>8213.8899736682688</v>
      </c>
      <c r="I18" s="82">
        <f t="shared" si="2"/>
        <v>-42.410700374210137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71">
        <v>0.1</v>
      </c>
      <c r="F19" s="69">
        <v>0.1</v>
      </c>
      <c r="G19" s="80">
        <f t="shared" si="0"/>
        <v>3008.4257569288861</v>
      </c>
      <c r="H19" s="53">
        <f t="shared" si="1"/>
        <v>2990.4080768808526</v>
      </c>
      <c r="I19" s="82">
        <f t="shared" si="2"/>
        <v>-18.017680048033526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71">
        <v>1.1399999999999999</v>
      </c>
      <c r="F20" s="69">
        <v>1.33</v>
      </c>
      <c r="G20" s="80">
        <f t="shared" si="0"/>
        <v>37474.591090798938</v>
      </c>
      <c r="H20" s="53">
        <f t="shared" si="1"/>
        <v>37116.452266806002</v>
      </c>
      <c r="I20" s="82">
        <f t="shared" si="2"/>
        <v>-358.13882399293652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71">
        <v>3.67</v>
      </c>
      <c r="F21" s="69">
        <v>2.4700000000000002</v>
      </c>
      <c r="G21" s="80">
        <f t="shared" si="0"/>
        <v>90334.251836281896</v>
      </c>
      <c r="H21" s="53">
        <f t="shared" si="1"/>
        <v>90637.659429752908</v>
      </c>
      <c r="I21" s="82">
        <f t="shared" si="2"/>
        <v>303.40759347101266</v>
      </c>
      <c r="J21" s="34"/>
      <c r="K21" s="6"/>
      <c r="L21" s="6"/>
      <c r="M21" s="11"/>
      <c r="N21" s="344"/>
      <c r="O21" s="344"/>
      <c r="P21" s="344"/>
      <c r="Q21" s="344"/>
    </row>
    <row r="22" spans="2:18" ht="27" customHeight="1">
      <c r="B22" s="84" t="s">
        <v>304</v>
      </c>
      <c r="C22" s="76" t="s">
        <v>302</v>
      </c>
      <c r="D22" s="77" t="s">
        <v>300</v>
      </c>
      <c r="E22" s="71">
        <v>1.94</v>
      </c>
      <c r="F22" s="69">
        <v>2.1</v>
      </c>
      <c r="G22" s="80">
        <v>59311.46</v>
      </c>
      <c r="H22" s="53">
        <v>62235.76</v>
      </c>
      <c r="I22" s="82">
        <f t="shared" si="2"/>
        <v>2924.3000000000029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71">
        <v>0.22</v>
      </c>
      <c r="F23" s="69">
        <v>0.21</v>
      </c>
      <c r="G23" s="80">
        <f t="shared" si="0"/>
        <v>6451.2452198851479</v>
      </c>
      <c r="H23" s="53">
        <f t="shared" si="1"/>
        <v>6419.6451275397558</v>
      </c>
      <c r="I23" s="82">
        <f t="shared" si="2"/>
        <v>-31.600092345392113</v>
      </c>
      <c r="J23" s="5"/>
      <c r="N23" s="341"/>
      <c r="O23" s="341"/>
      <c r="P23" s="341"/>
      <c r="Q23" s="341"/>
    </row>
    <row r="24" spans="2:18" ht="54.75" customHeight="1">
      <c r="B24" s="84" t="s">
        <v>306</v>
      </c>
      <c r="C24" s="76" t="s">
        <v>299</v>
      </c>
      <c r="D24" s="77" t="s">
        <v>300</v>
      </c>
      <c r="E24" s="71">
        <v>5.41</v>
      </c>
      <c r="F24" s="69">
        <v>5.41</v>
      </c>
      <c r="G24" s="80">
        <v>115789.33</v>
      </c>
      <c r="H24" s="53">
        <v>18818</v>
      </c>
      <c r="I24" s="82">
        <f t="shared" si="2"/>
        <v>-96971.33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71">
        <v>0.71</v>
      </c>
      <c r="F25" s="69">
        <v>1.07</v>
      </c>
      <c r="G25" s="80">
        <f t="shared" si="0"/>
        <v>27382.31490709756</v>
      </c>
      <c r="H25" s="53">
        <f t="shared" si="1"/>
        <v>26964.992443386371</v>
      </c>
      <c r="I25" s="82">
        <f t="shared" si="2"/>
        <v>-417.3224637111889</v>
      </c>
      <c r="J25" s="5"/>
      <c r="K25" s="68"/>
      <c r="L25" s="68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71">
        <v>0.26</v>
      </c>
      <c r="F26" s="69">
        <v>0.73</v>
      </c>
      <c r="G26" s="80">
        <f t="shared" si="0"/>
        <v>15684.604899859991</v>
      </c>
      <c r="H26" s="53">
        <f t="shared" si="1"/>
        <v>15259.935155001851</v>
      </c>
      <c r="I26" s="82">
        <f t="shared" si="2"/>
        <v>-424.66974485813989</v>
      </c>
      <c r="J26" s="5"/>
      <c r="K26" s="85"/>
      <c r="L26" s="85"/>
      <c r="M26" s="10"/>
      <c r="N26" s="345"/>
      <c r="O26" s="345"/>
      <c r="P26" s="341"/>
      <c r="Q26" s="341"/>
    </row>
    <row r="27" spans="2:18">
      <c r="B27" s="84" t="s">
        <v>314</v>
      </c>
      <c r="C27" s="83" t="s">
        <v>315</v>
      </c>
      <c r="D27" s="77" t="s">
        <v>300</v>
      </c>
      <c r="E27" s="71"/>
      <c r="F27" s="69"/>
      <c r="G27" s="80"/>
      <c r="H27" s="53">
        <v>6217.42</v>
      </c>
      <c r="I27" s="82">
        <f t="shared" si="2"/>
        <v>6217.42</v>
      </c>
      <c r="J27" s="5"/>
      <c r="K27" s="85"/>
      <c r="L27" s="85"/>
      <c r="M27" s="10"/>
      <c r="N27" s="341"/>
      <c r="O27" s="341"/>
      <c r="P27" s="341"/>
      <c r="Q27" s="341"/>
    </row>
    <row r="28" spans="2:18" ht="16.5" thickBot="1">
      <c r="B28" s="103" t="s">
        <v>273</v>
      </c>
      <c r="C28" s="104" t="s">
        <v>303</v>
      </c>
      <c r="D28" s="105" t="s">
        <v>300</v>
      </c>
      <c r="E28" s="64">
        <v>0.15</v>
      </c>
      <c r="F28" s="106">
        <v>0.11</v>
      </c>
      <c r="G28" s="107">
        <f t="shared" ref="G28" si="3">($N$15/$N$16*E28)+($O$15/$O$16*F28)</f>
        <v>3843.4728539597218</v>
      </c>
      <c r="H28" s="119">
        <f t="shared" ref="H28" si="4">($P$15/$P$16*E28)+($Q$15/$Q$16*F28)</f>
        <v>3848.6015489287993</v>
      </c>
      <c r="I28" s="109">
        <f t="shared" si="2"/>
        <v>5.1286949690775145</v>
      </c>
      <c r="J28" s="5"/>
      <c r="N28" s="341"/>
      <c r="O28" s="341"/>
      <c r="P28" s="341"/>
      <c r="Q28" s="341"/>
    </row>
    <row r="29" spans="2:18" ht="16.5" thickBot="1">
      <c r="B29" s="110" t="s">
        <v>278</v>
      </c>
      <c r="C29" s="111"/>
      <c r="D29" s="111"/>
      <c r="E29" s="112">
        <f>SUM(E16:E28)</f>
        <v>16.02</v>
      </c>
      <c r="F29" s="113">
        <f>SUM(F16:F28)</f>
        <v>16.020000000000003</v>
      </c>
      <c r="G29" s="114">
        <f>SUM(G16:G28)</f>
        <v>433254.64</v>
      </c>
      <c r="H29" s="115">
        <f>SUM(H16:H28)</f>
        <v>343991.51800000004</v>
      </c>
      <c r="I29" s="116">
        <f>H29-G29</f>
        <v>-89263.121999999974</v>
      </c>
      <c r="J29" s="5"/>
      <c r="N29" s="341"/>
      <c r="O29" s="341"/>
      <c r="P29" s="341"/>
      <c r="Q29" s="341"/>
    </row>
    <row r="30" spans="2:18">
      <c r="B30" s="10"/>
      <c r="C30" s="10"/>
      <c r="D30" s="10"/>
      <c r="E30" s="46"/>
      <c r="F30" s="46"/>
      <c r="G30" s="3"/>
      <c r="H30" s="3"/>
      <c r="N30" s="341"/>
      <c r="O30" s="341"/>
      <c r="P30" s="341"/>
      <c r="Q30" s="341"/>
      <c r="R30" s="352"/>
    </row>
    <row r="31" spans="2:18" ht="16.5" thickBot="1">
      <c r="B31" s="289" t="s">
        <v>308</v>
      </c>
      <c r="C31" s="289"/>
      <c r="D31" s="289"/>
      <c r="E31" s="289"/>
      <c r="F31" s="289"/>
      <c r="G31" s="289"/>
      <c r="H31" s="289"/>
      <c r="I31" s="289"/>
      <c r="J31" s="289"/>
      <c r="K31" s="289"/>
      <c r="N31" s="341"/>
      <c r="O31" s="341"/>
      <c r="P31" s="341"/>
      <c r="Q31" s="341"/>
    </row>
    <row r="32" spans="2:18" ht="41.25" customHeight="1">
      <c r="B32" s="56"/>
      <c r="C32" s="91"/>
      <c r="D32" s="290" t="s">
        <v>309</v>
      </c>
      <c r="E32" s="291"/>
      <c r="F32" s="292" t="s">
        <v>8</v>
      </c>
      <c r="G32" s="293"/>
      <c r="H32" s="292" t="s">
        <v>9</v>
      </c>
      <c r="I32" s="294"/>
      <c r="J32" s="334"/>
      <c r="K32" s="335"/>
      <c r="L32" s="44"/>
      <c r="M32" s="67"/>
      <c r="N32" s="345"/>
      <c r="O32" s="345"/>
      <c r="P32" s="345"/>
      <c r="Q32" s="345"/>
    </row>
    <row r="33" spans="2:18">
      <c r="B33" s="57" t="s">
        <v>18</v>
      </c>
      <c r="C33" s="94"/>
      <c r="D33" s="295">
        <f>F33+H33</f>
        <v>433254.64</v>
      </c>
      <c r="E33" s="296"/>
      <c r="F33" s="295">
        <f>115788.83+142365.02+59311.46</f>
        <v>317465.31</v>
      </c>
      <c r="G33" s="296"/>
      <c r="H33" s="295">
        <f>G24</f>
        <v>115789.33</v>
      </c>
      <c r="I33" s="297"/>
      <c r="J33" s="330"/>
      <c r="K33" s="331"/>
      <c r="L33" s="5"/>
      <c r="M33" s="5"/>
      <c r="N33" s="341"/>
      <c r="O33" s="341"/>
      <c r="P33" s="341"/>
      <c r="Q33" s="341"/>
    </row>
    <row r="34" spans="2:18">
      <c r="B34" s="57" t="s">
        <v>19</v>
      </c>
      <c r="C34" s="94"/>
      <c r="D34" s="295">
        <f>F34+H34</f>
        <v>405963.41</v>
      </c>
      <c r="E34" s="296"/>
      <c r="F34" s="295">
        <f>109065.36+134274.62+53733.87</f>
        <v>297073.84999999998</v>
      </c>
      <c r="G34" s="296"/>
      <c r="H34" s="295">
        <v>108889.56</v>
      </c>
      <c r="I34" s="297"/>
      <c r="J34" s="330"/>
      <c r="K34" s="331"/>
      <c r="L34" s="42"/>
      <c r="M34" s="5"/>
      <c r="N34" s="341"/>
      <c r="O34" s="341"/>
      <c r="P34" s="341"/>
      <c r="Q34" s="341"/>
    </row>
    <row r="35" spans="2:18" ht="16.5" thickBot="1">
      <c r="B35" s="58" t="s">
        <v>277</v>
      </c>
      <c r="C35" s="96"/>
      <c r="D35" s="314">
        <f>F35+H35</f>
        <v>343991.51800000004</v>
      </c>
      <c r="E35" s="315"/>
      <c r="F35" s="314">
        <f>H16+H17+H18+H19+H20+H21+H22+H23+H25+H26+H28+H27</f>
        <v>325173.51800000004</v>
      </c>
      <c r="G35" s="315"/>
      <c r="H35" s="314">
        <f>H24</f>
        <v>18818</v>
      </c>
      <c r="I35" s="316"/>
      <c r="J35" s="330"/>
      <c r="K35" s="331"/>
      <c r="L35" s="5"/>
      <c r="M35" s="5"/>
      <c r="N35" s="341"/>
      <c r="O35" s="341"/>
      <c r="P35" s="341"/>
      <c r="Q35" s="341"/>
    </row>
    <row r="36" spans="2:18" ht="27" thickBot="1">
      <c r="B36" s="60" t="s">
        <v>245</v>
      </c>
      <c r="C36" s="98"/>
      <c r="D36" s="317">
        <f>F36+H36</f>
        <v>61971.891999999934</v>
      </c>
      <c r="E36" s="318"/>
      <c r="F36" s="319">
        <f>F34-F35</f>
        <v>-28099.668000000063</v>
      </c>
      <c r="G36" s="320"/>
      <c r="H36" s="319">
        <f>H34-H35</f>
        <v>90071.56</v>
      </c>
      <c r="I36" s="321"/>
      <c r="J36" s="330"/>
      <c r="K36" s="331"/>
      <c r="L36" s="5"/>
      <c r="M36" s="5"/>
      <c r="N36" s="341"/>
      <c r="O36" s="341"/>
      <c r="P36" s="341"/>
      <c r="Q36" s="341"/>
    </row>
    <row r="37" spans="2:18" ht="37.5" customHeight="1">
      <c r="B37" s="73" t="s">
        <v>267</v>
      </c>
      <c r="C37" s="73"/>
      <c r="D37" s="73"/>
      <c r="E37" s="322" t="s">
        <v>10</v>
      </c>
      <c r="F37" s="322"/>
      <c r="G37" s="287" t="s">
        <v>11</v>
      </c>
      <c r="H37" s="287"/>
      <c r="I37" s="287"/>
      <c r="J37" s="287"/>
      <c r="K37" s="6"/>
      <c r="L37" s="6"/>
      <c r="M37" s="6"/>
      <c r="N37" s="344"/>
      <c r="O37" s="344"/>
      <c r="P37" s="344"/>
      <c r="Q37" s="344"/>
      <c r="R37" s="351"/>
    </row>
    <row r="38" spans="2:18" ht="10.5" customHeight="1">
      <c r="B38" s="73"/>
      <c r="C38" s="73"/>
      <c r="D38" s="73"/>
      <c r="E38" s="285" t="s">
        <v>12</v>
      </c>
      <c r="F38" s="285"/>
      <c r="G38" s="288"/>
      <c r="H38" s="288"/>
      <c r="I38" s="288"/>
      <c r="J38" s="288"/>
      <c r="K38" s="6"/>
      <c r="L38" s="6"/>
      <c r="M38" s="6"/>
      <c r="N38" s="344"/>
      <c r="O38" s="344"/>
      <c r="P38" s="344"/>
      <c r="Q38" s="344"/>
      <c r="R38" s="351"/>
    </row>
    <row r="39" spans="2:18">
      <c r="B39" s="73" t="s">
        <v>268</v>
      </c>
      <c r="C39" s="73"/>
      <c r="D39" s="73"/>
      <c r="E39" s="286" t="s">
        <v>10</v>
      </c>
      <c r="F39" s="286"/>
      <c r="G39" s="287" t="s">
        <v>312</v>
      </c>
      <c r="H39" s="287"/>
      <c r="I39" s="287"/>
      <c r="J39" s="287"/>
      <c r="K39" s="6"/>
      <c r="L39" s="6"/>
      <c r="M39" s="6"/>
      <c r="N39" s="344"/>
      <c r="O39" s="344"/>
      <c r="P39" s="344"/>
      <c r="Q39" s="344"/>
      <c r="R39" s="351"/>
    </row>
    <row r="40" spans="2:18" ht="10.5" customHeight="1">
      <c r="B40" s="73"/>
      <c r="C40" s="73"/>
      <c r="D40" s="73"/>
      <c r="E40" s="285" t="s">
        <v>12</v>
      </c>
      <c r="F40" s="285"/>
      <c r="G40" s="287"/>
      <c r="H40" s="287"/>
      <c r="I40" s="287"/>
      <c r="J40" s="287"/>
      <c r="N40" s="341"/>
      <c r="O40" s="341"/>
      <c r="P40" s="341"/>
      <c r="Q40" s="341"/>
    </row>
    <row r="41" spans="2:18">
      <c r="B41" s="73" t="s">
        <v>269</v>
      </c>
      <c r="C41" s="73"/>
      <c r="D41" s="73"/>
      <c r="E41" s="286" t="s">
        <v>10</v>
      </c>
      <c r="F41" s="286"/>
      <c r="G41" s="287" t="s">
        <v>313</v>
      </c>
      <c r="H41" s="287"/>
      <c r="I41" s="287"/>
      <c r="J41" s="287"/>
      <c r="N41" s="341"/>
      <c r="O41" s="341"/>
      <c r="P41" s="341"/>
      <c r="Q41" s="341"/>
    </row>
    <row r="42" spans="2:18" ht="9.75" customHeight="1">
      <c r="B42" s="61"/>
      <c r="C42" s="61"/>
      <c r="D42" s="61"/>
      <c r="E42" s="285" t="s">
        <v>12</v>
      </c>
      <c r="F42" s="285"/>
      <c r="G42" s="100"/>
      <c r="H42" s="117"/>
      <c r="I42" s="70"/>
      <c r="J42" s="62"/>
      <c r="N42" s="341"/>
      <c r="O42" s="341"/>
      <c r="P42" s="341"/>
      <c r="Q42" s="341"/>
    </row>
    <row r="43" spans="2:18">
      <c r="B43" s="73" t="s">
        <v>270</v>
      </c>
      <c r="C43" s="73"/>
      <c r="D43" s="73"/>
      <c r="E43" s="286" t="s">
        <v>10</v>
      </c>
      <c r="F43" s="286"/>
      <c r="G43" s="287" t="s">
        <v>244</v>
      </c>
      <c r="H43" s="287"/>
      <c r="I43" s="287"/>
      <c r="J43" s="287"/>
      <c r="N43" s="341"/>
      <c r="O43" s="341"/>
      <c r="P43" s="341"/>
      <c r="Q43" s="341"/>
    </row>
    <row r="44" spans="2:18" ht="9" customHeight="1">
      <c r="B44" s="39"/>
      <c r="C44" s="39"/>
      <c r="D44" s="39"/>
      <c r="E44" s="285" t="s">
        <v>12</v>
      </c>
      <c r="F44" s="285"/>
      <c r="G44" s="285"/>
      <c r="H44" s="285"/>
      <c r="J44" s="3"/>
      <c r="N44" s="341"/>
      <c r="O44" s="341"/>
      <c r="P44" s="341"/>
      <c r="Q44" s="341"/>
    </row>
    <row r="45" spans="2:18">
      <c r="C45" s="1"/>
      <c r="D45" s="1"/>
      <c r="E45" s="120"/>
      <c r="F45" s="120"/>
      <c r="G45" s="3"/>
      <c r="H45" s="3"/>
      <c r="N45" s="341"/>
      <c r="O45" s="341"/>
      <c r="P45" s="341"/>
      <c r="Q45" s="341"/>
    </row>
    <row r="46" spans="2:18">
      <c r="C46" s="50"/>
      <c r="E46" s="72"/>
      <c r="F46" s="72"/>
      <c r="I46" s="1"/>
    </row>
    <row r="47" spans="2:18">
      <c r="C47" s="50"/>
      <c r="I47" s="1"/>
    </row>
    <row r="48" spans="2:18">
      <c r="C48" s="50"/>
      <c r="I48" s="1"/>
    </row>
    <row r="49" spans="3:9">
      <c r="C49" s="50"/>
      <c r="E49" s="65"/>
      <c r="I49" s="1"/>
    </row>
  </sheetData>
  <mergeCells count="53">
    <mergeCell ref="E38:F38"/>
    <mergeCell ref="G38:H38"/>
    <mergeCell ref="D5:F5"/>
    <mergeCell ref="D12:E12"/>
    <mergeCell ref="B13:I13"/>
    <mergeCell ref="D32:E32"/>
    <mergeCell ref="D33:E33"/>
    <mergeCell ref="D34:E34"/>
    <mergeCell ref="D35:E35"/>
    <mergeCell ref="D36:E36"/>
    <mergeCell ref="G14:H14"/>
    <mergeCell ref="I14:I15"/>
    <mergeCell ref="B31:K31"/>
    <mergeCell ref="F32:G32"/>
    <mergeCell ref="H32:I32"/>
    <mergeCell ref="J32:K32"/>
    <mergeCell ref="B14:B15"/>
    <mergeCell ref="C14:C15"/>
    <mergeCell ref="D14:D15"/>
    <mergeCell ref="E14:E15"/>
    <mergeCell ref="F14:F15"/>
    <mergeCell ref="F33:G33"/>
    <mergeCell ref="H33:I33"/>
    <mergeCell ref="J33:K33"/>
    <mergeCell ref="H34:I34"/>
    <mergeCell ref="J34:K34"/>
    <mergeCell ref="F34:G34"/>
    <mergeCell ref="H35:I35"/>
    <mergeCell ref="J35:K35"/>
    <mergeCell ref="H36:I36"/>
    <mergeCell ref="J36:K36"/>
    <mergeCell ref="E37:F37"/>
    <mergeCell ref="G37:H37"/>
    <mergeCell ref="I37:J37"/>
    <mergeCell ref="F35:G35"/>
    <mergeCell ref="F36:G36"/>
    <mergeCell ref="G39:H39"/>
    <mergeCell ref="I39:J39"/>
    <mergeCell ref="E40:F40"/>
    <mergeCell ref="G40:H40"/>
    <mergeCell ref="I40:J40"/>
    <mergeCell ref="E44:F44"/>
    <mergeCell ref="G44:H44"/>
    <mergeCell ref="B2:I3"/>
    <mergeCell ref="E41:F41"/>
    <mergeCell ref="G41:H41"/>
    <mergeCell ref="I41:J41"/>
    <mergeCell ref="E42:F42"/>
    <mergeCell ref="E43:F43"/>
    <mergeCell ref="G43:H43"/>
    <mergeCell ref="I43:J43"/>
    <mergeCell ref="I38:J38"/>
    <mergeCell ref="E39:F39"/>
  </mergeCells>
  <printOptions horizontalCentered="1"/>
  <pageMargins left="0.19685039370078741" right="0.19685039370078741" top="0.23622047244094491" bottom="0.23622047244094491" header="0.31496062992125984" footer="0.31496062992125984"/>
  <pageSetup paperSize="9" scale="4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48.42578125" style="1" customWidth="1"/>
    <col min="3" max="3" width="12.7109375" style="46" customWidth="1"/>
    <col min="4" max="4" width="8.7109375" style="3" customWidth="1"/>
    <col min="5" max="5" width="10.42578125" style="3" customWidth="1"/>
    <col min="6" max="6" width="10.28515625" style="3" customWidth="1"/>
    <col min="7" max="7" width="10" style="3" customWidth="1"/>
    <col min="8" max="8" width="10.28515625" style="1" customWidth="1"/>
    <col min="9" max="9" width="11.5703125" style="3" customWidth="1"/>
    <col min="10" max="10" width="10.7109375" style="1" bestFit="1" customWidth="1"/>
    <col min="11" max="11" width="12.140625" style="1" customWidth="1"/>
    <col min="12" max="12" width="13.85546875" style="1" customWidth="1"/>
    <col min="13" max="13" width="9.140625" style="1"/>
    <col min="14" max="14" width="16.28515625" style="339" customWidth="1"/>
    <col min="15" max="15" width="14.28515625" style="339" customWidth="1"/>
    <col min="16" max="16" width="13.7109375" style="339" customWidth="1"/>
    <col min="17" max="17" width="15.57031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4.7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5" customHeight="1"/>
    <row r="5" spans="1:18">
      <c r="B5" s="1" t="s">
        <v>0</v>
      </c>
      <c r="D5" s="299" t="s">
        <v>89</v>
      </c>
      <c r="E5" s="299"/>
      <c r="F5" s="299"/>
    </row>
    <row r="6" spans="1:18">
      <c r="B6" s="1" t="s">
        <v>1</v>
      </c>
      <c r="D6" s="22">
        <v>1959</v>
      </c>
      <c r="E6" s="22"/>
      <c r="F6" s="22"/>
    </row>
    <row r="7" spans="1:18" hidden="1" outlineLevel="1">
      <c r="B7" s="1" t="s">
        <v>2</v>
      </c>
      <c r="D7" s="22">
        <v>3</v>
      </c>
      <c r="E7" s="22"/>
      <c r="F7" s="22"/>
    </row>
    <row r="8" spans="1:18" hidden="1" outlineLevel="1">
      <c r="B8" s="1" t="s">
        <v>3</v>
      </c>
      <c r="D8" s="22">
        <v>20</v>
      </c>
      <c r="E8" s="22"/>
      <c r="F8" s="22"/>
    </row>
    <row r="9" spans="1:18" ht="31.5" hidden="1" outlineLevel="1">
      <c r="B9" s="2" t="s">
        <v>4</v>
      </c>
      <c r="C9" s="47"/>
      <c r="D9" s="22" t="s">
        <v>90</v>
      </c>
      <c r="E9" s="22"/>
      <c r="F9" s="22"/>
    </row>
    <row r="10" spans="1:18" collapsed="1">
      <c r="B10" s="1" t="s">
        <v>5</v>
      </c>
      <c r="D10" s="38" t="s">
        <v>255</v>
      </c>
      <c r="E10" s="22"/>
      <c r="F10" s="22"/>
      <c r="J10" s="10"/>
    </row>
    <row r="11" spans="1:18" hidden="1" outlineLevel="1">
      <c r="B11" s="1" t="s">
        <v>6</v>
      </c>
      <c r="D11" s="22" t="s">
        <v>91</v>
      </c>
      <c r="E11" s="22"/>
      <c r="F11" s="22"/>
    </row>
    <row r="12" spans="1:18" ht="31.5" hidden="1" outlineLevel="1">
      <c r="B12" s="2" t="s">
        <v>7</v>
      </c>
      <c r="C12" s="47"/>
      <c r="D12" s="323" t="s">
        <v>92</v>
      </c>
      <c r="E12" s="323"/>
      <c r="F12" s="22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61709.919999999998</v>
      </c>
      <c r="O15" s="341">
        <v>64852.480000000003</v>
      </c>
      <c r="P15" s="346">
        <f>55139.76*1.07</f>
        <v>58999.543200000007</v>
      </c>
      <c r="Q15" s="341">
        <f>61658.3*1.07</f>
        <v>65974.381000000008</v>
      </c>
      <c r="R15" s="339">
        <f>(N15+O15)/(P15+Q15)*100</f>
        <v>101.27104578828612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12950.366912621361</v>
      </c>
      <c r="H16" s="81">
        <f>($P$15/$P$16*E16)+($Q$15/$Q$16*F16)</f>
        <v>12803.943270406942</v>
      </c>
      <c r="I16" s="82">
        <f>H16-G16</f>
        <v>-146.42364221441858</v>
      </c>
      <c r="J16" s="171"/>
      <c r="K16" s="171"/>
      <c r="L16" s="12"/>
      <c r="M16" s="13"/>
      <c r="N16" s="342">
        <v>10.3</v>
      </c>
      <c r="O16" s="341">
        <v>9.8699999999999992</v>
      </c>
      <c r="P16" s="342">
        <v>10.3</v>
      </c>
      <c r="Q16" s="341">
        <v>9.8699999999999992</v>
      </c>
    </row>
    <row r="17" spans="2:17" ht="51">
      <c r="B17" s="102" t="s">
        <v>301</v>
      </c>
      <c r="C17" s="76" t="s">
        <v>299</v>
      </c>
      <c r="D17" s="77" t="s">
        <v>300</v>
      </c>
      <c r="E17" s="231">
        <v>1.1299999999999999</v>
      </c>
      <c r="F17" s="230">
        <v>1.17</v>
      </c>
      <c r="G17" s="80">
        <f t="shared" ref="G17:G27" si="0">($N$15/$N$16*E17)+($O$15/$O$16*F17)</f>
        <v>14457.797436893205</v>
      </c>
      <c r="H17" s="81">
        <f t="shared" ref="H17:H21" si="1">($P$15/$P$16*E17)+($Q$15/$Q$16*F17)</f>
        <v>14293.436722980496</v>
      </c>
      <c r="I17" s="82">
        <f t="shared" ref="I17:I27" si="2">H17-G17</f>
        <v>-164.36071391270889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31">
        <v>0.28000000000000003</v>
      </c>
      <c r="F18" s="230">
        <v>0.27</v>
      </c>
      <c r="G18" s="80">
        <f t="shared" si="0"/>
        <v>3451.6312233009712</v>
      </c>
      <c r="H18" s="81">
        <f t="shared" si="1"/>
        <v>3408.6413781934079</v>
      </c>
      <c r="I18" s="82">
        <f t="shared" si="2"/>
        <v>-42.989845107563269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31">
        <v>0.28000000000000003</v>
      </c>
      <c r="F19" s="230">
        <v>0.28000000000000003</v>
      </c>
      <c r="G19" s="80">
        <f t="shared" si="0"/>
        <v>3517.3378899676381</v>
      </c>
      <c r="H19" s="81">
        <f t="shared" si="1"/>
        <v>3475.4847226716251</v>
      </c>
      <c r="I19" s="82">
        <f t="shared" si="2"/>
        <v>-41.853167296012998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31">
        <v>1.1399999999999999</v>
      </c>
      <c r="F20" s="230">
        <v>1.33</v>
      </c>
      <c r="G20" s="80">
        <f t="shared" si="0"/>
        <v>15569.016647249193</v>
      </c>
      <c r="H20" s="81">
        <f t="shared" si="1"/>
        <v>15420.211344534877</v>
      </c>
      <c r="I20" s="82">
        <f t="shared" si="2"/>
        <v>-148.80530271431599</v>
      </c>
      <c r="J20" s="171"/>
      <c r="K20" s="171"/>
      <c r="N20" s="341"/>
      <c r="O20" s="341"/>
      <c r="P20" s="341"/>
      <c r="Q20" s="341"/>
    </row>
    <row r="21" spans="2:17" ht="182.25" customHeight="1">
      <c r="B21" s="102" t="s">
        <v>282</v>
      </c>
      <c r="C21" s="76" t="s">
        <v>303</v>
      </c>
      <c r="D21" s="77" t="s">
        <v>300</v>
      </c>
      <c r="E21" s="231">
        <v>3.67</v>
      </c>
      <c r="F21" s="230">
        <v>3.18</v>
      </c>
      <c r="G21" s="80">
        <f t="shared" si="0"/>
        <v>42882.623533980586</v>
      </c>
      <c r="H21" s="81">
        <f t="shared" si="1"/>
        <v>42278.350878441881</v>
      </c>
      <c r="I21" s="82">
        <f t="shared" si="2"/>
        <v>-604.27265553870529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31">
        <v>1.94</v>
      </c>
      <c r="F22" s="230">
        <v>2</v>
      </c>
      <c r="G22" s="80">
        <v>23605.439999999999</v>
      </c>
      <c r="H22" s="53">
        <v>25483.43</v>
      </c>
      <c r="I22" s="82">
        <f t="shared" si="2"/>
        <v>1877.9900000000016</v>
      </c>
      <c r="J22" s="171"/>
      <c r="K22" s="171"/>
      <c r="N22" s="341"/>
      <c r="O22" s="341"/>
      <c r="P22" s="341"/>
      <c r="Q22" s="341"/>
    </row>
    <row r="23" spans="2:17" ht="106.5" customHeight="1">
      <c r="B23" s="102" t="s">
        <v>305</v>
      </c>
      <c r="C23" s="76" t="s">
        <v>299</v>
      </c>
      <c r="D23" s="77" t="s">
        <v>300</v>
      </c>
      <c r="E23" s="231">
        <v>0.22</v>
      </c>
      <c r="F23" s="230">
        <v>0.21</v>
      </c>
      <c r="G23" s="80">
        <f t="shared" si="0"/>
        <v>2697.9159611650484</v>
      </c>
      <c r="H23" s="81">
        <f t="shared" ref="H23" si="3">($P$15/$P$16*E23)+($Q$15/$Q$16*F23)</f>
        <v>2663.8946519066312</v>
      </c>
      <c r="I23" s="82">
        <f t="shared" si="2"/>
        <v>-34.021309258417205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31">
        <v>4.5999999999999996</v>
      </c>
      <c r="F24" s="230">
        <v>4.5999999999999996</v>
      </c>
      <c r="G24" s="80">
        <v>61046.37</v>
      </c>
      <c r="H24" s="130">
        <v>113532</v>
      </c>
      <c r="I24" s="82">
        <f t="shared" si="2"/>
        <v>52485.63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31">
        <v>0.71</v>
      </c>
      <c r="F25" s="230">
        <v>1.44</v>
      </c>
      <c r="G25" s="80">
        <f t="shared" si="0"/>
        <v>13715.550601941748</v>
      </c>
      <c r="H25" s="81">
        <f t="shared" ref="H25:H27" si="4">($P$15/$P$16*E25)+($Q$15/$Q$16*F25)</f>
        <v>13692.400407970019</v>
      </c>
      <c r="I25" s="82">
        <f t="shared" si="2"/>
        <v>-23.150193971729095</v>
      </c>
      <c r="J25" s="171"/>
      <c r="K25" s="171"/>
      <c r="L25" s="228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31">
        <v>0.25</v>
      </c>
      <c r="F26" s="230">
        <v>0.83</v>
      </c>
      <c r="G26" s="80">
        <f t="shared" si="0"/>
        <v>6951.466925566343</v>
      </c>
      <c r="H26" s="81">
        <f t="shared" si="4"/>
        <v>6980.0253392648119</v>
      </c>
      <c r="I26" s="82">
        <f t="shared" si="2"/>
        <v>28.558413698468939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0.61</v>
      </c>
      <c r="F27" s="237">
        <v>0.11</v>
      </c>
      <c r="G27" s="238">
        <f t="shared" si="0"/>
        <v>4377.4384983818763</v>
      </c>
      <c r="H27" s="108">
        <f t="shared" si="4"/>
        <v>4229.4244933380551</v>
      </c>
      <c r="I27" s="109">
        <f t="shared" si="2"/>
        <v>-148.01400504382127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15.84</v>
      </c>
      <c r="F28" s="113">
        <f>SUM(F16:F27)</f>
        <v>16.47</v>
      </c>
      <c r="G28" s="114">
        <f>SUM(G16:G27)</f>
        <v>205222.95563106798</v>
      </c>
      <c r="H28" s="115">
        <f>SUM(H16:H27)</f>
        <v>258261.24320970877</v>
      </c>
      <c r="I28" s="116">
        <f>H28-G28</f>
        <v>53038.287578640797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27"/>
      <c r="K30" s="22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28"/>
      <c r="K31" s="228"/>
      <c r="L31" s="44"/>
      <c r="M31" s="23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211214.21</v>
      </c>
      <c r="E32" s="296"/>
      <c r="F32" s="295">
        <f>61709.92+64852.48+23605.44</f>
        <v>150167.84</v>
      </c>
      <c r="G32" s="296"/>
      <c r="H32" s="295">
        <f>G24</f>
        <v>61046.37</v>
      </c>
      <c r="I32" s="297"/>
      <c r="J32" s="229"/>
      <c r="K32" s="229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193928.65</v>
      </c>
      <c r="E33" s="296"/>
      <c r="F33" s="295">
        <f>56157.84+59017.66+23199.16</f>
        <v>138374.66</v>
      </c>
      <c r="G33" s="296"/>
      <c r="H33" s="295">
        <v>55553.99</v>
      </c>
      <c r="I33" s="297"/>
      <c r="J33" s="229"/>
      <c r="K33" s="229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258261.24320970877</v>
      </c>
      <c r="E34" s="315"/>
      <c r="F34" s="314">
        <f>H16+H17+H18+H19+H20+H21+H22+H23+H25+H26+H27</f>
        <v>144729.24320970877</v>
      </c>
      <c r="G34" s="315"/>
      <c r="H34" s="314">
        <f>H24</f>
        <v>113532</v>
      </c>
      <c r="I34" s="316"/>
      <c r="J34" s="229"/>
      <c r="K34" s="229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-64332.593209708772</v>
      </c>
      <c r="E35" s="318"/>
      <c r="F35" s="319">
        <f>F33-F34</f>
        <v>-6354.5832097087696</v>
      </c>
      <c r="G35" s="320"/>
      <c r="H35" s="319">
        <f>H33-H34</f>
        <v>-57978.01</v>
      </c>
      <c r="I35" s="321"/>
      <c r="J35" s="229"/>
      <c r="K35" s="229"/>
      <c r="L35" s="5"/>
      <c r="M35" s="5"/>
      <c r="N35" s="341"/>
      <c r="O35" s="341"/>
      <c r="P35" s="341"/>
      <c r="Q35" s="341"/>
    </row>
    <row r="36" spans="2:17" ht="34.5" customHeight="1">
      <c r="B36" s="225" t="s">
        <v>267</v>
      </c>
      <c r="C36" s="225"/>
      <c r="D36" s="131"/>
      <c r="E36" s="322" t="s">
        <v>10</v>
      </c>
      <c r="F36" s="322"/>
      <c r="G36" s="287" t="s">
        <v>11</v>
      </c>
      <c r="H36" s="287"/>
      <c r="I36" s="225"/>
      <c r="J36" s="225"/>
      <c r="K36" s="225"/>
      <c r="L36" s="6"/>
      <c r="M36" s="6"/>
      <c r="N36" s="344"/>
      <c r="O36" s="344"/>
      <c r="P36" s="344"/>
      <c r="Q36" s="344"/>
    </row>
    <row r="37" spans="2:17" ht="11.25" customHeight="1">
      <c r="B37" s="225"/>
      <c r="C37" s="225"/>
      <c r="D37" s="225"/>
      <c r="E37" s="285" t="s">
        <v>12</v>
      </c>
      <c r="F37" s="285"/>
      <c r="G37" s="288"/>
      <c r="H37" s="288"/>
      <c r="I37" s="226"/>
      <c r="J37" s="226"/>
      <c r="K37" s="226"/>
      <c r="L37" s="6"/>
      <c r="M37" s="6"/>
      <c r="N37" s="344"/>
      <c r="O37" s="344"/>
      <c r="P37" s="344"/>
      <c r="Q37" s="344"/>
    </row>
    <row r="38" spans="2:17">
      <c r="B38" s="225" t="s">
        <v>268</v>
      </c>
      <c r="C38" s="225"/>
      <c r="D38" s="225"/>
      <c r="E38" s="286" t="s">
        <v>10</v>
      </c>
      <c r="F38" s="286"/>
      <c r="G38" s="287" t="s">
        <v>312</v>
      </c>
      <c r="H38" s="287"/>
      <c r="I38" s="225"/>
      <c r="J38" s="225"/>
      <c r="K38" s="225"/>
      <c r="L38" s="6"/>
      <c r="M38" s="6"/>
      <c r="N38" s="344"/>
      <c r="O38" s="344"/>
      <c r="P38" s="344"/>
      <c r="Q38" s="344"/>
    </row>
    <row r="39" spans="2:17" ht="9.75" customHeight="1">
      <c r="B39" s="225"/>
      <c r="C39" s="225"/>
      <c r="D39" s="225"/>
      <c r="E39" s="285" t="s">
        <v>12</v>
      </c>
      <c r="F39" s="285"/>
      <c r="G39" s="287"/>
      <c r="H39" s="287"/>
      <c r="I39" s="225"/>
      <c r="J39" s="225"/>
      <c r="K39" s="225"/>
      <c r="N39" s="341"/>
      <c r="O39" s="341"/>
      <c r="P39" s="341"/>
      <c r="Q39" s="341"/>
    </row>
    <row r="40" spans="2:17">
      <c r="B40" s="225" t="s">
        <v>269</v>
      </c>
      <c r="C40" s="225"/>
      <c r="D40" s="225"/>
      <c r="E40" s="286" t="s">
        <v>10</v>
      </c>
      <c r="F40" s="286"/>
      <c r="G40" s="287" t="s">
        <v>313</v>
      </c>
      <c r="H40" s="287"/>
      <c r="I40" s="225"/>
      <c r="J40" s="225"/>
      <c r="K40" s="22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32"/>
      <c r="J41" s="232"/>
      <c r="K41" s="232"/>
      <c r="N41" s="341"/>
      <c r="O41" s="341"/>
      <c r="P41" s="341"/>
      <c r="Q41" s="341"/>
    </row>
    <row r="42" spans="2:17">
      <c r="B42" s="225" t="s">
        <v>270</v>
      </c>
      <c r="C42" s="225"/>
      <c r="D42" s="225"/>
      <c r="E42" s="286" t="s">
        <v>10</v>
      </c>
      <c r="F42" s="286"/>
      <c r="G42" s="287" t="s">
        <v>244</v>
      </c>
      <c r="H42" s="287"/>
      <c r="I42" s="1"/>
    </row>
    <row r="43" spans="2:17" ht="9" customHeight="1">
      <c r="E43" s="285" t="s">
        <v>12</v>
      </c>
      <c r="F43" s="285"/>
    </row>
  </sheetData>
  <mergeCells count="41">
    <mergeCell ref="E43:F43"/>
    <mergeCell ref="E38:F38"/>
    <mergeCell ref="G38:H38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36:F36"/>
    <mergeCell ref="G36:H36"/>
    <mergeCell ref="E37:F37"/>
    <mergeCell ref="G37:H37"/>
    <mergeCell ref="D35:E35"/>
    <mergeCell ref="F35:G35"/>
    <mergeCell ref="H35:I35"/>
    <mergeCell ref="E42:F42"/>
    <mergeCell ref="G42:H42"/>
    <mergeCell ref="E39:F39"/>
    <mergeCell ref="G39:H39"/>
    <mergeCell ref="E40:F40"/>
    <mergeCell ref="G40:H40"/>
    <mergeCell ref="E41:F41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4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28515625" style="1" customWidth="1"/>
    <col min="3" max="3" width="12" style="3" customWidth="1"/>
    <col min="4" max="4" width="8.28515625" style="3" customWidth="1"/>
    <col min="5" max="5" width="10.85546875" style="3" customWidth="1"/>
    <col min="6" max="6" width="10" style="3" customWidth="1"/>
    <col min="7" max="7" width="9.85546875" style="1" customWidth="1"/>
    <col min="8" max="8" width="10.28515625" style="1" customWidth="1"/>
    <col min="9" max="9" width="11" style="3" customWidth="1"/>
    <col min="10" max="10" width="10.7109375" style="1" bestFit="1" customWidth="1"/>
    <col min="11" max="12" width="11.7109375" style="1" customWidth="1"/>
    <col min="13" max="13" width="9.140625" style="1"/>
    <col min="14" max="14" width="14.7109375" style="339" customWidth="1"/>
    <col min="15" max="15" width="13.28515625" style="339" customWidth="1"/>
    <col min="16" max="17" width="14.5703125" style="339" customWidth="1"/>
    <col min="18" max="18" width="9.140625" style="339"/>
    <col min="19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1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16.5" customHeight="1"/>
    <row r="5" spans="2:18">
      <c r="B5" s="1" t="s">
        <v>0</v>
      </c>
      <c r="D5" s="299" t="s">
        <v>93</v>
      </c>
      <c r="E5" s="299"/>
      <c r="F5" s="299"/>
    </row>
    <row r="6" spans="2:18">
      <c r="B6" s="1" t="s">
        <v>1</v>
      </c>
      <c r="D6" s="22">
        <v>1959</v>
      </c>
      <c r="E6" s="22"/>
      <c r="F6" s="22"/>
    </row>
    <row r="7" spans="2:18" hidden="1" outlineLevel="1">
      <c r="B7" s="1" t="s">
        <v>2</v>
      </c>
      <c r="D7" s="22">
        <v>2</v>
      </c>
      <c r="E7" s="22"/>
      <c r="F7" s="22"/>
    </row>
    <row r="8" spans="2:18" hidden="1" outlineLevel="1">
      <c r="B8" s="1" t="s">
        <v>3</v>
      </c>
      <c r="D8" s="22">
        <v>10</v>
      </c>
      <c r="E8" s="22"/>
      <c r="F8" s="22"/>
    </row>
    <row r="9" spans="2:18" ht="30.75" hidden="1" customHeight="1" outlineLevel="1">
      <c r="B9" s="2" t="s">
        <v>4</v>
      </c>
      <c r="C9" s="7"/>
      <c r="D9" s="22" t="s">
        <v>94</v>
      </c>
      <c r="E9" s="22"/>
      <c r="F9" s="22"/>
    </row>
    <row r="10" spans="2:18" collapsed="1">
      <c r="B10" s="1" t="s">
        <v>5</v>
      </c>
      <c r="D10" s="22" t="s">
        <v>95</v>
      </c>
      <c r="E10" s="22"/>
      <c r="F10" s="22"/>
      <c r="J10" s="10"/>
    </row>
    <row r="11" spans="2:18" hidden="1" outlineLevel="1">
      <c r="B11" s="1" t="s">
        <v>6</v>
      </c>
      <c r="D11" s="22" t="s">
        <v>96</v>
      </c>
      <c r="E11" s="22"/>
      <c r="F11" s="22"/>
    </row>
    <row r="12" spans="2:18" ht="30.75" hidden="1" customHeight="1" outlineLevel="1">
      <c r="B12" s="2" t="s">
        <v>7</v>
      </c>
      <c r="C12" s="7"/>
      <c r="D12" s="323" t="s">
        <v>97</v>
      </c>
      <c r="E12" s="323"/>
      <c r="F12" s="22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29041.279999999999</v>
      </c>
      <c r="O15" s="341">
        <v>30007.85</v>
      </c>
      <c r="P15" s="346">
        <f>28488.37*0.97</f>
        <v>27633.7189</v>
      </c>
      <c r="Q15" s="341">
        <f>31856.22*0.96</f>
        <v>30581.9712</v>
      </c>
      <c r="R15" s="339">
        <f>(N15+O15)/(P15+Q15)*100</f>
        <v>101.43164136432696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6860.8558506916597</v>
      </c>
      <c r="H16" s="81">
        <f>($P$15/$P$16*E16)+($Q$15/$Q$16*F16)</f>
        <v>6763.4211368722172</v>
      </c>
      <c r="I16" s="82">
        <f>H16-G16</f>
        <v>-97.43471381944255</v>
      </c>
      <c r="J16" s="171"/>
      <c r="K16" s="171"/>
      <c r="L16" s="12"/>
      <c r="M16" s="13"/>
      <c r="N16" s="342">
        <v>8.67</v>
      </c>
      <c r="O16" s="341">
        <v>9.06</v>
      </c>
      <c r="P16" s="342">
        <v>8.67</v>
      </c>
      <c r="Q16" s="341">
        <v>9.06</v>
      </c>
    </row>
    <row r="17" spans="2:17" ht="51">
      <c r="B17" s="102" t="s">
        <v>301</v>
      </c>
      <c r="C17" s="76" t="s">
        <v>299</v>
      </c>
      <c r="D17" s="77" t="s">
        <v>300</v>
      </c>
      <c r="E17" s="231">
        <v>1.1299999999999999</v>
      </c>
      <c r="F17" s="230">
        <v>1.17</v>
      </c>
      <c r="G17" s="80">
        <f t="shared" ref="G17:G27" si="0">($N$15/$N$16*E17)+($O$15/$O$16*F17)</f>
        <v>7660.2662501050272</v>
      </c>
      <c r="H17" s="81">
        <f t="shared" ref="H17:H21" si="1">($P$15/$P$16*E17)+($Q$15/$Q$16*F17)</f>
        <v>7550.953976057348</v>
      </c>
      <c r="I17" s="82">
        <f t="shared" ref="I17:I27" si="2">H17-G17</f>
        <v>-109.31227404767924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31">
        <v>0.28000000000000003</v>
      </c>
      <c r="F18" s="230">
        <v>0.27</v>
      </c>
      <c r="G18" s="80">
        <f t="shared" si="0"/>
        <v>1832.1696847239091</v>
      </c>
      <c r="H18" s="81">
        <f t="shared" si="1"/>
        <v>1803.8216896659717</v>
      </c>
      <c r="I18" s="82">
        <f t="shared" si="2"/>
        <v>-28.347995057937396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31">
        <v>7.0000000000000007E-2</v>
      </c>
      <c r="F19" s="230">
        <v>7.0000000000000007E-2</v>
      </c>
      <c r="G19" s="80">
        <f t="shared" si="0"/>
        <v>466.32273299113183</v>
      </c>
      <c r="H19" s="81">
        <f t="shared" si="1"/>
        <v>459.3941561913274</v>
      </c>
      <c r="I19" s="82">
        <f t="shared" si="2"/>
        <v>-6.9285767998044321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31">
        <v>1.1399999999999999</v>
      </c>
      <c r="F20" s="230">
        <v>1.33</v>
      </c>
      <c r="G20" s="80">
        <f t="shared" si="0"/>
        <v>8223.7024919987471</v>
      </c>
      <c r="H20" s="81">
        <f t="shared" si="1"/>
        <v>8122.9057391461756</v>
      </c>
      <c r="I20" s="82">
        <f t="shared" si="2"/>
        <v>-100.79675285257144</v>
      </c>
      <c r="J20" s="171"/>
      <c r="K20" s="171"/>
      <c r="N20" s="341"/>
      <c r="O20" s="341"/>
      <c r="P20" s="341"/>
      <c r="Q20" s="341"/>
    </row>
    <row r="21" spans="2:17" ht="153">
      <c r="B21" s="102" t="s">
        <v>282</v>
      </c>
      <c r="C21" s="76" t="s">
        <v>303</v>
      </c>
      <c r="D21" s="77" t="s">
        <v>300</v>
      </c>
      <c r="E21" s="231">
        <v>3.67</v>
      </c>
      <c r="F21" s="230">
        <v>2.85</v>
      </c>
      <c r="G21" s="80">
        <f t="shared" si="0"/>
        <v>21732.692441661507</v>
      </c>
      <c r="H21" s="81">
        <f t="shared" si="1"/>
        <v>21317.474653599609</v>
      </c>
      <c r="I21" s="82">
        <f t="shared" si="2"/>
        <v>-415.21778806189832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31">
        <v>1.94</v>
      </c>
      <c r="F22" s="230">
        <v>2</v>
      </c>
      <c r="G22" s="80">
        <v>12968.52</v>
      </c>
      <c r="H22" s="53">
        <v>13166.2</v>
      </c>
      <c r="I22" s="82">
        <f t="shared" si="2"/>
        <v>197.68000000000029</v>
      </c>
      <c r="J22" s="171"/>
      <c r="K22" s="171"/>
      <c r="N22" s="341"/>
      <c r="O22" s="341"/>
      <c r="P22" s="341"/>
      <c r="Q22" s="341"/>
    </row>
    <row r="23" spans="2:17" ht="109.5" customHeight="1">
      <c r="B23" s="102" t="s">
        <v>305</v>
      </c>
      <c r="C23" s="76" t="s">
        <v>299</v>
      </c>
      <c r="D23" s="77" t="s">
        <v>300</v>
      </c>
      <c r="E23" s="231">
        <v>0.22</v>
      </c>
      <c r="F23" s="230">
        <v>0.21</v>
      </c>
      <c r="G23" s="80">
        <f t="shared" si="0"/>
        <v>1432.4644850172244</v>
      </c>
      <c r="H23" s="81">
        <f t="shared" ref="H23" si="3">($P$15/$P$16*E23)+($Q$15/$Q$16*F23)</f>
        <v>1410.0552700734052</v>
      </c>
      <c r="I23" s="82">
        <f t="shared" si="2"/>
        <v>-22.409214943819279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31">
        <v>5.41</v>
      </c>
      <c r="F24" s="230">
        <v>5.41</v>
      </c>
      <c r="G24" s="80">
        <v>36242.980000000003</v>
      </c>
      <c r="H24" s="130">
        <v>30852</v>
      </c>
      <c r="I24" s="82">
        <f t="shared" si="2"/>
        <v>-5390.9800000000032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31">
        <v>0.71</v>
      </c>
      <c r="F25" s="230">
        <v>1.17</v>
      </c>
      <c r="G25" s="80">
        <f t="shared" si="0"/>
        <v>6253.4222362641976</v>
      </c>
      <c r="H25" s="81">
        <f t="shared" ref="H25:H27" si="4">($P$15/$P$16*E25)+($Q$15/$Q$16*F25)</f>
        <v>6212.2963130815697</v>
      </c>
      <c r="I25" s="82">
        <f t="shared" si="2"/>
        <v>-41.125923182627957</v>
      </c>
      <c r="J25" s="171"/>
      <c r="K25" s="171"/>
      <c r="L25" s="228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31">
        <v>0.25</v>
      </c>
      <c r="F26" s="230">
        <v>0.83</v>
      </c>
      <c r="G26" s="80">
        <f t="shared" si="0"/>
        <v>3586.4706720670347</v>
      </c>
      <c r="H26" s="81">
        <f t="shared" si="4"/>
        <v>3598.479650730615</v>
      </c>
      <c r="I26" s="82">
        <f t="shared" si="2"/>
        <v>12.008978663580365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0.19</v>
      </c>
      <c r="F27" s="237">
        <v>0.11</v>
      </c>
      <c r="G27" s="238">
        <f t="shared" si="0"/>
        <v>1000.7631544795559</v>
      </c>
      <c r="H27" s="108">
        <f t="shared" si="4"/>
        <v>976.88751458175784</v>
      </c>
      <c r="I27" s="109">
        <f t="shared" si="2"/>
        <v>-23.87563989779801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16.020000000000003</v>
      </c>
      <c r="F28" s="113">
        <f>SUM(F16:F27)</f>
        <v>16.47</v>
      </c>
      <c r="G28" s="114">
        <f>SUM(G16:G27)</f>
        <v>108260.63</v>
      </c>
      <c r="H28" s="115">
        <f>SUM(H16:H27)</f>
        <v>102233.89010000002</v>
      </c>
      <c r="I28" s="116">
        <f>H28-G28</f>
        <v>-6026.7398999999859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27"/>
      <c r="K30" s="22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28"/>
      <c r="K31" s="228"/>
      <c r="L31" s="44"/>
      <c r="M31" s="23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108260.63</v>
      </c>
      <c r="E32" s="296"/>
      <c r="F32" s="295">
        <f>29041.28+30007.85+12968.52</f>
        <v>72017.649999999994</v>
      </c>
      <c r="G32" s="296"/>
      <c r="H32" s="295">
        <f>G24</f>
        <v>36242.980000000003</v>
      </c>
      <c r="I32" s="297"/>
      <c r="J32" s="229"/>
      <c r="K32" s="229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104542.14000000001</v>
      </c>
      <c r="E33" s="296"/>
      <c r="F33" s="295">
        <f>28174.95+29112.69+12092.68</f>
        <v>69380.320000000007</v>
      </c>
      <c r="G33" s="296"/>
      <c r="H33" s="295">
        <v>35161.82</v>
      </c>
      <c r="I33" s="297"/>
      <c r="J33" s="229"/>
      <c r="K33" s="229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102233.8901</v>
      </c>
      <c r="E34" s="315"/>
      <c r="F34" s="314">
        <f>H16+H17+H18+H19+H20+H21+H22+H23+H25+H26+H27</f>
        <v>71381.890100000004</v>
      </c>
      <c r="G34" s="315"/>
      <c r="H34" s="314">
        <f>H24</f>
        <v>30852</v>
      </c>
      <c r="I34" s="316"/>
      <c r="J34" s="229"/>
      <c r="K34" s="229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2308.2499000000025</v>
      </c>
      <c r="E35" s="318"/>
      <c r="F35" s="319">
        <f>F33-F34</f>
        <v>-2001.5700999999972</v>
      </c>
      <c r="G35" s="320"/>
      <c r="H35" s="319">
        <f>H33-H34</f>
        <v>4309.82</v>
      </c>
      <c r="I35" s="321"/>
      <c r="J35" s="229"/>
      <c r="K35" s="229"/>
      <c r="L35" s="5"/>
      <c r="M35" s="5"/>
      <c r="N35" s="341"/>
      <c r="O35" s="341"/>
      <c r="P35" s="341"/>
      <c r="Q35" s="341"/>
    </row>
    <row r="36" spans="2:17" ht="34.5" customHeight="1">
      <c r="B36" s="225" t="s">
        <v>267</v>
      </c>
      <c r="C36" s="225"/>
      <c r="D36" s="131"/>
      <c r="E36" s="322" t="s">
        <v>10</v>
      </c>
      <c r="F36" s="322"/>
      <c r="G36" s="287" t="s">
        <v>11</v>
      </c>
      <c r="H36" s="287"/>
      <c r="I36" s="225"/>
      <c r="J36" s="225"/>
      <c r="K36" s="225"/>
      <c r="L36" s="6"/>
      <c r="M36" s="6"/>
      <c r="N36" s="344"/>
      <c r="O36" s="344"/>
      <c r="P36" s="344"/>
      <c r="Q36" s="344"/>
    </row>
    <row r="37" spans="2:17" ht="11.25" customHeight="1">
      <c r="B37" s="225"/>
      <c r="C37" s="225"/>
      <c r="D37" s="225"/>
      <c r="E37" s="285" t="s">
        <v>12</v>
      </c>
      <c r="F37" s="285"/>
      <c r="G37" s="288"/>
      <c r="H37" s="288"/>
      <c r="I37" s="226"/>
      <c r="J37" s="226"/>
      <c r="K37" s="226"/>
      <c r="L37" s="6"/>
      <c r="M37" s="6"/>
      <c r="N37" s="344"/>
      <c r="O37" s="344"/>
      <c r="P37" s="344"/>
      <c r="Q37" s="344"/>
    </row>
    <row r="38" spans="2:17">
      <c r="B38" s="225" t="s">
        <v>268</v>
      </c>
      <c r="C38" s="225"/>
      <c r="D38" s="225"/>
      <c r="E38" s="286" t="s">
        <v>10</v>
      </c>
      <c r="F38" s="286"/>
      <c r="G38" s="287" t="s">
        <v>312</v>
      </c>
      <c r="H38" s="287"/>
      <c r="I38" s="225"/>
      <c r="J38" s="225"/>
      <c r="K38" s="225"/>
      <c r="L38" s="6"/>
      <c r="M38" s="6"/>
      <c r="N38" s="344"/>
      <c r="O38" s="344"/>
      <c r="P38" s="344"/>
      <c r="Q38" s="344"/>
    </row>
    <row r="39" spans="2:17" ht="9.75" customHeight="1">
      <c r="B39" s="225"/>
      <c r="C39" s="225"/>
      <c r="D39" s="225"/>
      <c r="E39" s="285" t="s">
        <v>12</v>
      </c>
      <c r="F39" s="285"/>
      <c r="G39" s="287"/>
      <c r="H39" s="287"/>
      <c r="I39" s="225"/>
      <c r="J39" s="225"/>
      <c r="K39" s="225"/>
      <c r="N39" s="341"/>
      <c r="O39" s="341"/>
      <c r="P39" s="341"/>
      <c r="Q39" s="341"/>
    </row>
    <row r="40" spans="2:17">
      <c r="B40" s="225" t="s">
        <v>269</v>
      </c>
      <c r="C40" s="225"/>
      <c r="D40" s="225"/>
      <c r="E40" s="286" t="s">
        <v>10</v>
      </c>
      <c r="F40" s="286"/>
      <c r="G40" s="287" t="s">
        <v>313</v>
      </c>
      <c r="H40" s="287"/>
      <c r="I40" s="225"/>
      <c r="J40" s="225"/>
      <c r="K40" s="22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32"/>
      <c r="J41" s="232"/>
      <c r="K41" s="232"/>
      <c r="N41" s="341"/>
      <c r="O41" s="341"/>
      <c r="P41" s="341"/>
      <c r="Q41" s="341"/>
    </row>
    <row r="42" spans="2:17">
      <c r="B42" s="225" t="s">
        <v>270</v>
      </c>
      <c r="C42" s="225"/>
      <c r="D42" s="225"/>
      <c r="E42" s="286" t="s">
        <v>10</v>
      </c>
      <c r="F42" s="286"/>
      <c r="G42" s="287" t="s">
        <v>244</v>
      </c>
      <c r="H42" s="287"/>
      <c r="I42" s="1"/>
    </row>
    <row r="43" spans="2:17" ht="9.75" customHeight="1">
      <c r="C43" s="46"/>
      <c r="E43" s="285" t="s">
        <v>12</v>
      </c>
      <c r="F43" s="285"/>
      <c r="G43" s="3"/>
    </row>
    <row r="44" spans="2:17">
      <c r="C44" s="46"/>
      <c r="G44" s="3"/>
    </row>
  </sheetData>
  <mergeCells count="41">
    <mergeCell ref="E43:F43"/>
    <mergeCell ref="E37:F37"/>
    <mergeCell ref="G37:H37"/>
    <mergeCell ref="D5:F5"/>
    <mergeCell ref="D12:E12"/>
    <mergeCell ref="D33:E33"/>
    <mergeCell ref="F33:G33"/>
    <mergeCell ref="H33:I33"/>
    <mergeCell ref="D34:E34"/>
    <mergeCell ref="E36:F36"/>
    <mergeCell ref="G36:H36"/>
    <mergeCell ref="B30:I30"/>
    <mergeCell ref="D31:E31"/>
    <mergeCell ref="F31:G31"/>
    <mergeCell ref="H31:I31"/>
    <mergeCell ref="D32:E32"/>
    <mergeCell ref="F32:G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H32:I32"/>
    <mergeCell ref="F34:G34"/>
    <mergeCell ref="H34:I34"/>
    <mergeCell ref="D35:E35"/>
    <mergeCell ref="F35:G35"/>
    <mergeCell ref="H35:I35"/>
    <mergeCell ref="E41:F41"/>
    <mergeCell ref="E42:F42"/>
    <mergeCell ref="G42:H42"/>
    <mergeCell ref="E38:F38"/>
    <mergeCell ref="G38:H38"/>
    <mergeCell ref="E39:F39"/>
    <mergeCell ref="G39:H39"/>
    <mergeCell ref="E40:F40"/>
    <mergeCell ref="G40:H40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1.42578125" style="48" customWidth="1"/>
    <col min="4" max="4" width="9.5703125" style="3" customWidth="1"/>
    <col min="5" max="5" width="11" style="3" customWidth="1"/>
    <col min="6" max="6" width="10.28515625" style="3" customWidth="1"/>
    <col min="7" max="7" width="9.42578125" style="1" customWidth="1"/>
    <col min="8" max="8" width="10.42578125" style="1" customWidth="1"/>
    <col min="9" max="9" width="12.42578125" style="1" customWidth="1"/>
    <col min="10" max="10" width="10.7109375" style="1" bestFit="1" customWidth="1"/>
    <col min="11" max="12" width="9.140625" style="1"/>
    <col min="13" max="13" width="11" style="1" customWidth="1"/>
    <col min="14" max="14" width="14.140625" style="339" customWidth="1"/>
    <col min="15" max="15" width="13.28515625" style="339" customWidth="1"/>
    <col min="16" max="16" width="14.7109375" style="339" customWidth="1"/>
    <col min="17" max="17" width="13.7109375" style="339" customWidth="1"/>
    <col min="18" max="18" width="9.42578125" style="339" bestFit="1" customWidth="1"/>
    <col min="19" max="16384" width="9.140625" style="1"/>
  </cols>
  <sheetData>
    <row r="1" spans="2:18">
      <c r="B1" s="117"/>
      <c r="C1" s="117"/>
      <c r="D1" s="117"/>
      <c r="E1" s="117"/>
      <c r="F1" s="117"/>
      <c r="G1" s="117"/>
      <c r="H1" s="117"/>
      <c r="I1" s="117"/>
    </row>
    <row r="2" spans="2:18" ht="15.75" customHeight="1">
      <c r="B2" s="313" t="s">
        <v>320</v>
      </c>
      <c r="C2" s="313"/>
      <c r="D2" s="313"/>
      <c r="E2" s="313"/>
      <c r="F2" s="313"/>
      <c r="G2" s="313"/>
      <c r="H2" s="313"/>
      <c r="I2" s="313"/>
      <c r="J2" s="99"/>
    </row>
    <row r="3" spans="2:18" ht="22.5" customHeight="1">
      <c r="B3" s="313"/>
      <c r="C3" s="313"/>
      <c r="D3" s="313"/>
      <c r="E3" s="313"/>
      <c r="F3" s="313"/>
      <c r="G3" s="313"/>
      <c r="H3" s="313"/>
      <c r="I3" s="313"/>
      <c r="J3" s="99"/>
    </row>
    <row r="4" spans="2:18" ht="8.25" customHeight="1"/>
    <row r="5" spans="2:18">
      <c r="B5" s="1" t="s">
        <v>0</v>
      </c>
      <c r="D5" s="299" t="s">
        <v>98</v>
      </c>
      <c r="E5" s="299"/>
      <c r="F5" s="299"/>
    </row>
    <row r="6" spans="2:18">
      <c r="B6" s="1" t="s">
        <v>1</v>
      </c>
      <c r="D6" s="22">
        <v>1956</v>
      </c>
      <c r="E6" s="22"/>
      <c r="F6" s="22"/>
    </row>
    <row r="7" spans="2:18" hidden="1" outlineLevel="1">
      <c r="B7" s="1" t="s">
        <v>2</v>
      </c>
      <c r="D7" s="22">
        <v>2</v>
      </c>
      <c r="E7" s="22"/>
      <c r="F7" s="22"/>
    </row>
    <row r="8" spans="2:18" hidden="1" outlineLevel="1">
      <c r="B8" s="1" t="s">
        <v>3</v>
      </c>
      <c r="D8" s="22">
        <v>12</v>
      </c>
      <c r="E8" s="22"/>
      <c r="F8" s="22"/>
    </row>
    <row r="9" spans="2:18" ht="30.75" hidden="1" customHeight="1" outlineLevel="1">
      <c r="B9" s="2" t="s">
        <v>4</v>
      </c>
      <c r="C9" s="49"/>
      <c r="D9" s="22" t="s">
        <v>99</v>
      </c>
      <c r="E9" s="22"/>
      <c r="F9" s="22"/>
    </row>
    <row r="10" spans="2:18" collapsed="1">
      <c r="B10" s="1" t="s">
        <v>5</v>
      </c>
      <c r="D10" s="38" t="s">
        <v>256</v>
      </c>
      <c r="E10" s="22"/>
      <c r="F10" s="22"/>
      <c r="J10" s="10"/>
    </row>
    <row r="11" spans="2:18" hidden="1" outlineLevel="1">
      <c r="B11" s="1" t="s">
        <v>6</v>
      </c>
      <c r="D11" s="22" t="s">
        <v>16</v>
      </c>
      <c r="E11" s="22"/>
      <c r="F11" s="22"/>
    </row>
    <row r="12" spans="2:18" ht="30.75" hidden="1" customHeight="1" outlineLevel="1">
      <c r="B12" s="2" t="s">
        <v>7</v>
      </c>
      <c r="C12" s="49"/>
      <c r="D12" s="323" t="s">
        <v>72</v>
      </c>
      <c r="E12" s="323"/>
      <c r="F12" s="22"/>
      <c r="J12" s="10"/>
    </row>
    <row r="13" spans="2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2:18" ht="35.2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2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30725.22</v>
      </c>
      <c r="O15" s="341">
        <v>34645.83</v>
      </c>
      <c r="P15" s="346">
        <f>31710.69*0.96</f>
        <v>30442.262399999996</v>
      </c>
      <c r="Q15" s="341">
        <f>35459.48*0.96</f>
        <v>34041.1008</v>
      </c>
      <c r="R15" s="339">
        <f>(N15+O15)/(P15+Q15)*100</f>
        <v>101.37661368134101</v>
      </c>
    </row>
    <row r="16" spans="2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7817.7238240165634</v>
      </c>
      <c r="H16" s="81">
        <f>($P$15/$P$16*E16)+($Q$15/$Q$16*F16)</f>
        <v>7713.0539389209589</v>
      </c>
      <c r="I16" s="82">
        <f>H16-G16</f>
        <v>-104.66988509560451</v>
      </c>
      <c r="J16" s="171"/>
      <c r="K16" s="171"/>
      <c r="L16" s="12"/>
      <c r="M16" s="13"/>
      <c r="N16" s="342">
        <v>8.0500000000000007</v>
      </c>
      <c r="O16" s="341">
        <v>9.18</v>
      </c>
      <c r="P16" s="342">
        <v>8.0500000000000007</v>
      </c>
      <c r="Q16" s="341">
        <v>9.18</v>
      </c>
    </row>
    <row r="17" spans="2:17" ht="51">
      <c r="B17" s="102" t="s">
        <v>301</v>
      </c>
      <c r="C17" s="76" t="s">
        <v>299</v>
      </c>
      <c r="D17" s="77" t="s">
        <v>300</v>
      </c>
      <c r="E17" s="231">
        <v>1.1299999999999999</v>
      </c>
      <c r="F17" s="230">
        <v>1.17</v>
      </c>
      <c r="G17" s="80">
        <f t="shared" ref="G17:G27" si="0">($N$15/$N$16*E17)+($O$15/$O$16*F17)</f>
        <v>8728.6261925465824</v>
      </c>
      <c r="H17" s="81">
        <f t="shared" ref="H17:H21" si="1">($P$15/$P$16*E17)+($Q$15/$Q$16*F17)</f>
        <v>8611.8333490975492</v>
      </c>
      <c r="I17" s="82">
        <f t="shared" ref="I17:I27" si="2">H17-G17</f>
        <v>-116.79284344903317</v>
      </c>
      <c r="J17" s="171"/>
      <c r="K17" s="171"/>
      <c r="L17" s="6"/>
      <c r="M17" s="6"/>
      <c r="N17" s="343"/>
      <c r="O17" s="344"/>
      <c r="P17" s="344"/>
      <c r="Q17" s="344"/>
    </row>
    <row r="18" spans="2:17" ht="55.5" customHeight="1">
      <c r="B18" s="84" t="s">
        <v>271</v>
      </c>
      <c r="C18" s="76" t="s">
        <v>299</v>
      </c>
      <c r="D18" s="77" t="s">
        <v>300</v>
      </c>
      <c r="E18" s="231">
        <v>0.28000000000000003</v>
      </c>
      <c r="F18" s="230">
        <v>0.27</v>
      </c>
      <c r="G18" s="80">
        <f t="shared" si="0"/>
        <v>2087.6983043478263</v>
      </c>
      <c r="H18" s="81">
        <f t="shared" si="1"/>
        <v>2060.0701479283889</v>
      </c>
      <c r="I18" s="82">
        <f t="shared" si="2"/>
        <v>-27.628156419437346</v>
      </c>
      <c r="J18" s="171"/>
      <c r="K18" s="171"/>
      <c r="M18" s="10"/>
      <c r="N18" s="341"/>
      <c r="O18" s="341"/>
      <c r="P18" s="341"/>
      <c r="Q18" s="341"/>
    </row>
    <row r="19" spans="2:17" ht="29.25" customHeight="1">
      <c r="B19" s="84" t="s">
        <v>272</v>
      </c>
      <c r="C19" s="83" t="s">
        <v>302</v>
      </c>
      <c r="D19" s="77" t="s">
        <v>300</v>
      </c>
      <c r="E19" s="231">
        <v>0.03</v>
      </c>
      <c r="F19" s="230">
        <v>0.03</v>
      </c>
      <c r="G19" s="80">
        <f t="shared" si="0"/>
        <v>227.72559213250514</v>
      </c>
      <c r="H19" s="81">
        <f t="shared" si="1"/>
        <v>224.69485254414806</v>
      </c>
      <c r="I19" s="82">
        <f t="shared" si="2"/>
        <v>-3.0307395883570791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31">
        <v>1.1399999999999999</v>
      </c>
      <c r="F20" s="230">
        <v>1.33</v>
      </c>
      <c r="G20" s="80">
        <f t="shared" si="0"/>
        <v>9370.6430565907522</v>
      </c>
      <c r="H20" s="81">
        <f t="shared" si="1"/>
        <v>9242.9587705338345</v>
      </c>
      <c r="I20" s="82">
        <f t="shared" si="2"/>
        <v>-127.6842860569177</v>
      </c>
      <c r="J20" s="171"/>
      <c r="K20" s="171"/>
      <c r="N20" s="341"/>
      <c r="O20" s="341"/>
      <c r="P20" s="341"/>
      <c r="Q20" s="341"/>
    </row>
    <row r="21" spans="2:17" ht="144" customHeight="1">
      <c r="B21" s="102" t="s">
        <v>282</v>
      </c>
      <c r="C21" s="76" t="s">
        <v>303</v>
      </c>
      <c r="D21" s="77" t="s">
        <v>300</v>
      </c>
      <c r="E21" s="231">
        <f>3.67-0.43</f>
        <v>3.2399999999999998</v>
      </c>
      <c r="F21" s="230">
        <f>3.33-0.32</f>
        <v>3.0100000000000002</v>
      </c>
      <c r="G21" s="80">
        <f t="shared" si="0"/>
        <v>23726.33117253278</v>
      </c>
      <c r="H21" s="81">
        <f t="shared" si="1"/>
        <v>23414.162464310473</v>
      </c>
      <c r="I21" s="82">
        <f t="shared" si="2"/>
        <v>-312.16870822230703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31">
        <v>1.94</v>
      </c>
      <c r="F22" s="230">
        <v>2</v>
      </c>
      <c r="G22" s="80"/>
      <c r="H22" s="53">
        <v>14655.43</v>
      </c>
      <c r="I22" s="82">
        <f t="shared" si="2"/>
        <v>14655.43</v>
      </c>
      <c r="J22" s="171"/>
      <c r="K22" s="171"/>
      <c r="N22" s="341"/>
      <c r="O22" s="341"/>
      <c r="P22" s="341"/>
      <c r="Q22" s="341"/>
    </row>
    <row r="23" spans="2:17" ht="109.5" customHeight="1">
      <c r="B23" s="102" t="s">
        <v>305</v>
      </c>
      <c r="C23" s="76" t="s">
        <v>299</v>
      </c>
      <c r="D23" s="77" t="s">
        <v>300</v>
      </c>
      <c r="E23" s="231">
        <v>0.22</v>
      </c>
      <c r="F23" s="230">
        <v>0.21</v>
      </c>
      <c r="G23" s="80">
        <f t="shared" si="0"/>
        <v>1632.2471200828156</v>
      </c>
      <c r="H23" s="81">
        <f t="shared" ref="H23" si="3">($P$15/$P$16*E23)+($Q$15/$Q$16*F23)</f>
        <v>1610.6804428400924</v>
      </c>
      <c r="I23" s="82">
        <f t="shared" si="2"/>
        <v>-21.566677242723244</v>
      </c>
      <c r="J23" s="171"/>
      <c r="K23" s="171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31">
        <v>4.8499999999999996</v>
      </c>
      <c r="F24" s="230">
        <v>4.8499999999999996</v>
      </c>
      <c r="G24" s="80">
        <v>37022.94</v>
      </c>
      <c r="H24" s="130">
        <v>60740</v>
      </c>
      <c r="I24" s="82">
        <f t="shared" si="2"/>
        <v>23717.059999999998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31">
        <v>0.71</v>
      </c>
      <c r="F25" s="230">
        <f>1.44-0.2</f>
        <v>1.24</v>
      </c>
      <c r="G25" s="80">
        <f t="shared" si="0"/>
        <v>7389.7551249137341</v>
      </c>
      <c r="H25" s="81">
        <f t="shared" ref="H25:H27" si="4">($P$15/$P$16*E25)+($Q$15/$Q$16*F25)</f>
        <v>7283.114061845492</v>
      </c>
      <c r="I25" s="82">
        <f t="shared" si="2"/>
        <v>-106.64106306824215</v>
      </c>
      <c r="J25" s="171"/>
      <c r="K25" s="171"/>
      <c r="L25" s="228"/>
      <c r="M25" s="10"/>
      <c r="N25" s="341"/>
      <c r="O25" s="341"/>
      <c r="P25" s="341"/>
      <c r="Q25" s="341"/>
    </row>
    <row r="26" spans="2:17" ht="65.25" customHeight="1">
      <c r="B26" s="102" t="s">
        <v>283</v>
      </c>
      <c r="C26" s="83" t="s">
        <v>303</v>
      </c>
      <c r="D26" s="77" t="s">
        <v>300</v>
      </c>
      <c r="E26" s="231">
        <v>0.25</v>
      </c>
      <c r="F26" s="230">
        <v>0.83</v>
      </c>
      <c r="G26" s="80">
        <f t="shared" si="0"/>
        <v>4086.6654899930982</v>
      </c>
      <c r="H26" s="81">
        <f t="shared" si="4"/>
        <v>4023.2020352535214</v>
      </c>
      <c r="I26" s="82">
        <f t="shared" si="2"/>
        <v>-63.463454739576719</v>
      </c>
      <c r="J26" s="171"/>
      <c r="K26" s="171"/>
      <c r="L26" s="85"/>
      <c r="M26" s="10"/>
      <c r="N26" s="345"/>
      <c r="O26" s="345"/>
      <c r="P26" s="341"/>
      <c r="Q26" s="341"/>
    </row>
    <row r="27" spans="2:17" ht="16.5" thickBot="1">
      <c r="B27" s="235" t="s">
        <v>273</v>
      </c>
      <c r="C27" s="236" t="s">
        <v>303</v>
      </c>
      <c r="D27" s="105" t="s">
        <v>300</v>
      </c>
      <c r="E27" s="59">
        <v>0.04</v>
      </c>
      <c r="F27" s="237">
        <v>0.04</v>
      </c>
      <c r="G27" s="238">
        <f t="shared" si="0"/>
        <v>303.63412284334026</v>
      </c>
      <c r="H27" s="108">
        <f t="shared" si="4"/>
        <v>299.59313672553077</v>
      </c>
      <c r="I27" s="109">
        <f t="shared" si="2"/>
        <v>-4.0409861178094957</v>
      </c>
      <c r="J27" s="171"/>
      <c r="K27" s="171"/>
      <c r="N27" s="341"/>
      <c r="O27" s="341"/>
      <c r="P27" s="341"/>
      <c r="Q27" s="341"/>
    </row>
    <row r="28" spans="2:17" ht="16.5" thickBot="1">
      <c r="B28" s="234" t="s">
        <v>278</v>
      </c>
      <c r="C28" s="111"/>
      <c r="D28" s="111"/>
      <c r="E28" s="112">
        <f>SUM(E16:E27)</f>
        <v>14.84</v>
      </c>
      <c r="F28" s="113">
        <f>SUM(F16:F27)</f>
        <v>16.03</v>
      </c>
      <c r="G28" s="114">
        <f>SUM(G16:G27)</f>
        <v>102393.99</v>
      </c>
      <c r="H28" s="115">
        <f>SUM(H16:H27)</f>
        <v>139878.79319999999</v>
      </c>
      <c r="I28" s="116">
        <f>H28-G28</f>
        <v>37484.80319999998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27"/>
      <c r="K30" s="227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28"/>
      <c r="K31" s="228"/>
      <c r="L31" s="44"/>
      <c r="M31" s="23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116829.33</v>
      </c>
      <c r="E32" s="296"/>
      <c r="F32" s="295">
        <f>30725.22+34645.83+14435.34</f>
        <v>79806.39</v>
      </c>
      <c r="G32" s="296"/>
      <c r="H32" s="295">
        <f>G24</f>
        <v>37022.94</v>
      </c>
      <c r="I32" s="297"/>
      <c r="J32" s="229"/>
      <c r="K32" s="229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105820.94</v>
      </c>
      <c r="E33" s="296"/>
      <c r="F33" s="295">
        <f>27801.24+31348.74+13171.33</f>
        <v>72321.31</v>
      </c>
      <c r="G33" s="296"/>
      <c r="H33" s="295">
        <v>33499.629999999997</v>
      </c>
      <c r="I33" s="297"/>
      <c r="J33" s="229"/>
      <c r="K33" s="229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139878.79319999999</v>
      </c>
      <c r="E34" s="315"/>
      <c r="F34" s="314">
        <f>H16+H17+H18+H19+H20+H21+H22+H23+H25+H26+H27</f>
        <v>79138.793199999986</v>
      </c>
      <c r="G34" s="315"/>
      <c r="H34" s="314">
        <f>H24</f>
        <v>60740</v>
      </c>
      <c r="I34" s="316"/>
      <c r="J34" s="229"/>
      <c r="K34" s="229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-34057.85319999999</v>
      </c>
      <c r="E35" s="318"/>
      <c r="F35" s="319">
        <f>F33-F34</f>
        <v>-6817.4831999999878</v>
      </c>
      <c r="G35" s="320"/>
      <c r="H35" s="319">
        <f>H33-H34</f>
        <v>-27240.370000000003</v>
      </c>
      <c r="I35" s="321"/>
      <c r="J35" s="229"/>
      <c r="K35" s="229"/>
      <c r="L35" s="5"/>
      <c r="M35" s="5"/>
      <c r="N35" s="341"/>
      <c r="O35" s="341"/>
      <c r="P35" s="341"/>
      <c r="Q35" s="341"/>
    </row>
    <row r="36" spans="2:17" ht="34.5" customHeight="1">
      <c r="B36" s="225" t="s">
        <v>267</v>
      </c>
      <c r="C36" s="225"/>
      <c r="D36" s="131"/>
      <c r="E36" s="322" t="s">
        <v>10</v>
      </c>
      <c r="F36" s="322"/>
      <c r="G36" s="287" t="s">
        <v>11</v>
      </c>
      <c r="H36" s="287"/>
      <c r="I36" s="225"/>
      <c r="J36" s="225"/>
      <c r="K36" s="225"/>
      <c r="L36" s="6"/>
      <c r="M36" s="6"/>
      <c r="N36" s="344"/>
      <c r="O36" s="344"/>
      <c r="P36" s="344"/>
      <c r="Q36" s="344"/>
    </row>
    <row r="37" spans="2:17" ht="11.25" customHeight="1">
      <c r="B37" s="225"/>
      <c r="C37" s="225"/>
      <c r="D37" s="225"/>
      <c r="E37" s="285" t="s">
        <v>12</v>
      </c>
      <c r="F37" s="285"/>
      <c r="G37" s="288"/>
      <c r="H37" s="288"/>
      <c r="I37" s="226"/>
      <c r="J37" s="226"/>
      <c r="K37" s="226"/>
      <c r="L37" s="6"/>
      <c r="M37" s="6"/>
      <c r="N37" s="344"/>
      <c r="O37" s="344"/>
      <c r="P37" s="344"/>
      <c r="Q37" s="344"/>
    </row>
    <row r="38" spans="2:17">
      <c r="B38" s="225" t="s">
        <v>268</v>
      </c>
      <c r="C38" s="225"/>
      <c r="D38" s="225"/>
      <c r="E38" s="286" t="s">
        <v>10</v>
      </c>
      <c r="F38" s="286"/>
      <c r="G38" s="287" t="s">
        <v>312</v>
      </c>
      <c r="H38" s="287"/>
      <c r="I38" s="225"/>
      <c r="J38" s="225"/>
      <c r="K38" s="225"/>
      <c r="L38" s="6"/>
      <c r="M38" s="6"/>
      <c r="N38" s="344"/>
      <c r="O38" s="344"/>
      <c r="P38" s="344"/>
      <c r="Q38" s="344"/>
    </row>
    <row r="39" spans="2:17" ht="9.75" customHeight="1">
      <c r="B39" s="225"/>
      <c r="C39" s="225"/>
      <c r="D39" s="225"/>
      <c r="E39" s="285" t="s">
        <v>12</v>
      </c>
      <c r="F39" s="285"/>
      <c r="G39" s="287"/>
      <c r="H39" s="287"/>
      <c r="I39" s="225"/>
      <c r="J39" s="225"/>
      <c r="K39" s="225"/>
      <c r="N39" s="341"/>
      <c r="O39" s="341"/>
      <c r="P39" s="341"/>
      <c r="Q39" s="341"/>
    </row>
    <row r="40" spans="2:17">
      <c r="B40" s="225" t="s">
        <v>269</v>
      </c>
      <c r="C40" s="225"/>
      <c r="D40" s="225"/>
      <c r="E40" s="286" t="s">
        <v>10</v>
      </c>
      <c r="F40" s="286"/>
      <c r="G40" s="287" t="s">
        <v>313</v>
      </c>
      <c r="H40" s="287"/>
      <c r="I40" s="225"/>
      <c r="J40" s="225"/>
      <c r="K40" s="22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32"/>
      <c r="J41" s="232"/>
      <c r="K41" s="232"/>
      <c r="N41" s="341"/>
      <c r="O41" s="341"/>
      <c r="P41" s="341"/>
      <c r="Q41" s="341"/>
    </row>
    <row r="42" spans="2:17">
      <c r="B42" s="225" t="s">
        <v>270</v>
      </c>
      <c r="C42" s="225"/>
      <c r="D42" s="225"/>
      <c r="E42" s="286" t="s">
        <v>10</v>
      </c>
      <c r="F42" s="286"/>
      <c r="G42" s="287" t="s">
        <v>244</v>
      </c>
      <c r="H42" s="287"/>
    </row>
    <row r="43" spans="2:17" ht="7.5" customHeight="1">
      <c r="C43" s="46"/>
      <c r="E43" s="285" t="s">
        <v>12</v>
      </c>
      <c r="F43" s="285"/>
      <c r="G43" s="3"/>
      <c r="I43" s="3"/>
    </row>
  </sheetData>
  <mergeCells count="41">
    <mergeCell ref="E43:F43"/>
    <mergeCell ref="E37:F37"/>
    <mergeCell ref="G37:H37"/>
    <mergeCell ref="D5:F5"/>
    <mergeCell ref="D12:E12"/>
    <mergeCell ref="B30:I30"/>
    <mergeCell ref="D31:E31"/>
    <mergeCell ref="F31:G31"/>
    <mergeCell ref="H31:I31"/>
    <mergeCell ref="E36:F36"/>
    <mergeCell ref="G36:H36"/>
    <mergeCell ref="D32:E32"/>
    <mergeCell ref="F32:G32"/>
    <mergeCell ref="H32:I32"/>
    <mergeCell ref="D33:E33"/>
    <mergeCell ref="F33:G33"/>
    <mergeCell ref="H33:I3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34:E34"/>
    <mergeCell ref="F34:G34"/>
    <mergeCell ref="H34:I34"/>
    <mergeCell ref="D35:E35"/>
    <mergeCell ref="F35:G35"/>
    <mergeCell ref="H35:I35"/>
    <mergeCell ref="E41:F41"/>
    <mergeCell ref="E42:F42"/>
    <mergeCell ref="G42:H42"/>
    <mergeCell ref="E38:F38"/>
    <mergeCell ref="G38:H38"/>
    <mergeCell ref="E39:F39"/>
    <mergeCell ref="G39:H39"/>
    <mergeCell ref="E40:F40"/>
    <mergeCell ref="G40:H40"/>
  </mergeCells>
  <printOptions horizontalCentered="1"/>
  <pageMargins left="0.19685039370078741" right="0.19685039370078741" top="0.15748031496062992" bottom="0.27559055118110237" header="0.31496062992125984" footer="0.23622047244094491"/>
  <pageSetup paperSize="9" scale="4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5703125" style="1" customWidth="1"/>
    <col min="3" max="3" width="12.7109375" style="3" customWidth="1"/>
    <col min="4" max="4" width="8.5703125" style="3" customWidth="1"/>
    <col min="5" max="6" width="10.28515625" style="3" customWidth="1"/>
    <col min="7" max="7" width="9.85546875" style="1" customWidth="1"/>
    <col min="8" max="8" width="10.42578125" style="1" customWidth="1"/>
    <col min="9" max="9" width="11.85546875" style="3" customWidth="1"/>
    <col min="10" max="10" width="10.7109375" style="1" bestFit="1" customWidth="1"/>
    <col min="11" max="11" width="11.7109375" style="1" customWidth="1"/>
    <col min="12" max="12" width="9.140625" style="1"/>
    <col min="13" max="13" width="9.140625" style="1" customWidth="1"/>
    <col min="14" max="14" width="12.85546875" style="339" customWidth="1"/>
    <col min="15" max="15" width="13" style="339" customWidth="1"/>
    <col min="16" max="16" width="16.42578125" style="339" customWidth="1"/>
    <col min="17" max="17" width="16.5703125" style="339" customWidth="1"/>
    <col min="18" max="18" width="9.140625" style="338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8.25" customHeight="1"/>
    <row r="5" spans="1:18">
      <c r="B5" s="1" t="s">
        <v>0</v>
      </c>
      <c r="D5" s="299" t="s">
        <v>100</v>
      </c>
      <c r="E5" s="299"/>
      <c r="F5" s="299"/>
    </row>
    <row r="6" spans="1:18">
      <c r="B6" s="1" t="s">
        <v>1</v>
      </c>
      <c r="D6" s="133">
        <v>1956</v>
      </c>
      <c r="E6" s="133"/>
      <c r="F6" s="133"/>
    </row>
    <row r="7" spans="1:18" ht="15.75" hidden="1" customHeight="1" outlineLevel="1">
      <c r="B7" s="1" t="s">
        <v>2</v>
      </c>
      <c r="D7" s="133">
        <v>2</v>
      </c>
      <c r="E7" s="133"/>
      <c r="F7" s="133"/>
    </row>
    <row r="8" spans="1:18" ht="15.75" hidden="1" customHeight="1" outlineLevel="1">
      <c r="B8" s="1" t="s">
        <v>3</v>
      </c>
      <c r="D8" s="133">
        <v>12</v>
      </c>
      <c r="E8" s="133"/>
      <c r="F8" s="133"/>
    </row>
    <row r="9" spans="1:18" ht="30.75" hidden="1" customHeight="1" outlineLevel="1">
      <c r="B9" s="2" t="s">
        <v>4</v>
      </c>
      <c r="C9" s="7"/>
      <c r="D9" s="133" t="s">
        <v>101</v>
      </c>
      <c r="E9" s="133"/>
      <c r="F9" s="133"/>
    </row>
    <row r="10" spans="1:18" collapsed="1">
      <c r="B10" s="1" t="s">
        <v>5</v>
      </c>
      <c r="D10" s="133" t="s">
        <v>102</v>
      </c>
      <c r="E10" s="133"/>
      <c r="F10" s="133"/>
      <c r="J10" s="10"/>
    </row>
    <row r="11" spans="1:18" ht="15.75" hidden="1" customHeight="1" outlineLevel="1">
      <c r="B11" s="1" t="s">
        <v>6</v>
      </c>
      <c r="D11" s="133" t="s">
        <v>16</v>
      </c>
      <c r="E11" s="133"/>
      <c r="F11" s="133"/>
    </row>
    <row r="12" spans="1:18" ht="30.75" hidden="1" customHeight="1" outlineLevel="1">
      <c r="B12" s="2" t="s">
        <v>7</v>
      </c>
      <c r="C12" s="7"/>
      <c r="D12" s="323" t="s">
        <v>103</v>
      </c>
      <c r="E12" s="323"/>
      <c r="F12" s="133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26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37592.339999999997</v>
      </c>
      <c r="O15" s="341">
        <v>44487.53</v>
      </c>
      <c r="P15" s="341">
        <f>38246.67</f>
        <v>38246.67</v>
      </c>
      <c r="Q15" s="341">
        <f>42768.14</f>
        <v>42768.14</v>
      </c>
      <c r="R15" s="338">
        <f>(N15+O15)/(P15+Q15)*100</f>
        <v>101.31464851920285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9608.5930091584087</v>
      </c>
      <c r="H16" s="81">
        <f>($P$15/$P$16*E16)+($Q$15/$Q$16*F16)</f>
        <v>9503.9367822593849</v>
      </c>
      <c r="I16" s="82">
        <f>H16-G16</f>
        <v>-104.65622689902375</v>
      </c>
      <c r="J16" s="43"/>
      <c r="K16" s="12"/>
      <c r="L16" s="12"/>
      <c r="M16" s="13"/>
      <c r="N16" s="342">
        <v>7.98</v>
      </c>
      <c r="O16" s="341">
        <v>9.6300000000000008</v>
      </c>
      <c r="P16" s="342">
        <v>7.98</v>
      </c>
      <c r="Q16" s="341">
        <v>9.6300000000000008</v>
      </c>
      <c r="R16" s="347"/>
    </row>
    <row r="17" spans="2:18" ht="51">
      <c r="B17" s="102" t="s">
        <v>301</v>
      </c>
      <c r="C17" s="76" t="s">
        <v>299</v>
      </c>
      <c r="D17" s="77" t="s">
        <v>300</v>
      </c>
      <c r="E17" s="138">
        <v>0.2</v>
      </c>
      <c r="F17" s="136">
        <v>0.2</v>
      </c>
      <c r="G17" s="80">
        <f t="shared" ref="G17:G26" si="0">($N$15/$N$16*E17)+($O$15/$O$16*F17)</f>
        <v>1866.1001506882471</v>
      </c>
      <c r="H17" s="53">
        <f t="shared" ref="H17:H26" si="1">($P$15/$P$16*E17)+($Q$15/$Q$16*F17)</f>
        <v>1846.790364540635</v>
      </c>
      <c r="I17" s="82">
        <f t="shared" ref="I17:I27" si="2">H17-G17</f>
        <v>-19.309786147612158</v>
      </c>
      <c r="J17" s="34"/>
      <c r="K17" s="6"/>
      <c r="L17" s="6"/>
      <c r="M17" s="6"/>
      <c r="N17" s="343"/>
      <c r="O17" s="344"/>
      <c r="P17" s="344"/>
      <c r="Q17" s="344"/>
      <c r="R17" s="348"/>
    </row>
    <row r="18" spans="2:18" ht="48">
      <c r="B18" s="84" t="s">
        <v>271</v>
      </c>
      <c r="C18" s="76" t="s">
        <v>299</v>
      </c>
      <c r="D18" s="77" t="s">
        <v>300</v>
      </c>
      <c r="E18" s="138">
        <v>0.28000000000000003</v>
      </c>
      <c r="F18" s="136">
        <v>0.27</v>
      </c>
      <c r="G18" s="80">
        <f t="shared" si="0"/>
        <v>2566.3433989178552</v>
      </c>
      <c r="H18" s="53">
        <f t="shared" si="1"/>
        <v>2541.0951500245947</v>
      </c>
      <c r="I18" s="82">
        <f t="shared" si="2"/>
        <v>-25.248248893260552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138">
        <v>0.02</v>
      </c>
      <c r="F19" s="136">
        <v>0.01</v>
      </c>
      <c r="G19" s="80">
        <f t="shared" si="0"/>
        <v>140.41320302313414</v>
      </c>
      <c r="H19" s="53">
        <f t="shared" si="1"/>
        <v>140.2676761217686</v>
      </c>
      <c r="I19" s="82">
        <f t="shared" si="2"/>
        <v>-0.14552690136554247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138">
        <v>1.1399999999999999</v>
      </c>
      <c r="F20" s="136">
        <v>1.33</v>
      </c>
      <c r="G20" s="80">
        <f t="shared" si="0"/>
        <v>11514.510287791127</v>
      </c>
      <c r="H20" s="53">
        <f t="shared" si="1"/>
        <v>11370.520924195222</v>
      </c>
      <c r="I20" s="82">
        <f t="shared" si="2"/>
        <v>-143.98936359590516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138">
        <v>3.67</v>
      </c>
      <c r="F21" s="136">
        <v>3.33</v>
      </c>
      <c r="G21" s="80">
        <f t="shared" si="0"/>
        <v>32672.246155575849</v>
      </c>
      <c r="H21" s="53">
        <f t="shared" si="1"/>
        <v>32378.616938022624</v>
      </c>
      <c r="I21" s="82">
        <f t="shared" si="2"/>
        <v>-293.62921755322532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138">
        <v>2.1</v>
      </c>
      <c r="F22" s="136">
        <v>2.1</v>
      </c>
      <c r="G22" s="80">
        <v>17410.560000000001</v>
      </c>
      <c r="H22" s="53">
        <v>17676.11</v>
      </c>
      <c r="I22" s="82">
        <f t="shared" si="2"/>
        <v>265.54999999999927</v>
      </c>
      <c r="J22" s="5"/>
      <c r="N22" s="341"/>
      <c r="O22" s="341"/>
      <c r="P22" s="341"/>
      <c r="Q22" s="341"/>
      <c r="R22" s="348"/>
    </row>
    <row r="23" spans="2:18" ht="102">
      <c r="B23" s="102" t="s">
        <v>305</v>
      </c>
      <c r="C23" s="76" t="s">
        <v>299</v>
      </c>
      <c r="D23" s="77" t="s">
        <v>300</v>
      </c>
      <c r="E23" s="138">
        <v>0.22</v>
      </c>
      <c r="F23" s="136">
        <v>0.21</v>
      </c>
      <c r="G23" s="80">
        <f t="shared" si="0"/>
        <v>2006.5133537113811</v>
      </c>
      <c r="H23" s="53">
        <f t="shared" si="1"/>
        <v>1987.0580406624035</v>
      </c>
      <c r="I23" s="82">
        <f t="shared" si="2"/>
        <v>-19.455313048977587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138">
        <v>5.94</v>
      </c>
      <c r="F24" s="136">
        <v>5.12</v>
      </c>
      <c r="G24" s="80">
        <v>51077.55</v>
      </c>
      <c r="H24" s="53">
        <v>5617</v>
      </c>
      <c r="I24" s="82">
        <f t="shared" si="2"/>
        <v>-45460.55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138">
        <v>0.71</v>
      </c>
      <c r="F25" s="136">
        <v>1.44</v>
      </c>
      <c r="G25" s="80">
        <f t="shared" si="0"/>
        <v>9997.0228142786855</v>
      </c>
      <c r="H25" s="53">
        <f t="shared" si="1"/>
        <v>9798.1350983767825</v>
      </c>
      <c r="I25" s="82">
        <f t="shared" si="2"/>
        <v>-198.88771590190299</v>
      </c>
      <c r="J25" s="5"/>
      <c r="K25" s="135"/>
      <c r="L25" s="13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138">
        <v>0.26</v>
      </c>
      <c r="F26" s="136">
        <v>0.73</v>
      </c>
      <c r="G26" s="80">
        <f t="shared" si="0"/>
        <v>4597.1803620421761</v>
      </c>
      <c r="H26" s="53">
        <f t="shared" si="1"/>
        <v>4488.161409520686</v>
      </c>
      <c r="I26" s="82">
        <f t="shared" si="2"/>
        <v>-109.01895252149006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0.47</v>
      </c>
      <c r="F27" s="106">
        <v>1.06</v>
      </c>
      <c r="G27" s="107">
        <f t="shared" ref="G27" si="3">($N$15/$N$16*E27)+($O$15/$O$16*F27)</f>
        <v>7110.9472648131232</v>
      </c>
      <c r="H27" s="119">
        <f t="shared" ref="H27" si="4">($P$15/$P$16*E27)+($Q$15/$Q$16*F27)</f>
        <v>6960.2276162758917</v>
      </c>
      <c r="I27" s="109">
        <f t="shared" si="2"/>
        <v>-150.71964853723148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16.020000000000003</v>
      </c>
      <c r="F28" s="113">
        <f>SUM(F16:F27)</f>
        <v>16.850000000000001</v>
      </c>
      <c r="G28" s="114">
        <f>SUM(G16:G27)</f>
        <v>150567.98000000001</v>
      </c>
      <c r="H28" s="115">
        <f>SUM(H16:H27)</f>
        <v>104307.92</v>
      </c>
      <c r="I28" s="116">
        <f>H28-G28</f>
        <v>-46260.060000000012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N29" s="341"/>
      <c r="O29" s="341"/>
      <c r="P29" s="341"/>
      <c r="Q29" s="341"/>
      <c r="R29" s="349"/>
    </row>
    <row r="30" spans="2:18" ht="16.5" customHeight="1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89"/>
      <c r="K30" s="289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132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150567.97999999998</v>
      </c>
      <c r="E32" s="296"/>
      <c r="F32" s="295">
        <f>37592.34+44487.53+17410.56</f>
        <v>99490.43</v>
      </c>
      <c r="G32" s="296"/>
      <c r="H32" s="295">
        <f>G24</f>
        <v>51077.55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129008.90999999999</v>
      </c>
      <c r="E33" s="296"/>
      <c r="F33" s="295">
        <f>32174.39+38075.82+15042.64</f>
        <v>85292.849999999991</v>
      </c>
      <c r="G33" s="296"/>
      <c r="H33" s="295">
        <v>43716.06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104307.92</v>
      </c>
      <c r="E34" s="315"/>
      <c r="F34" s="314">
        <f>H16+H17+H18+H19+H20+H21+H22+H23+H25+H26+H27</f>
        <v>98690.92</v>
      </c>
      <c r="G34" s="315"/>
      <c r="H34" s="314">
        <f>H24</f>
        <v>5617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24700.989999999991</v>
      </c>
      <c r="E35" s="318"/>
      <c r="F35" s="319">
        <f>F33-F34</f>
        <v>-13398.070000000007</v>
      </c>
      <c r="G35" s="320"/>
      <c r="H35" s="319">
        <f>H33-H34</f>
        <v>38099.06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134" t="s">
        <v>267</v>
      </c>
      <c r="C36" s="134"/>
      <c r="D36" s="13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48"/>
    </row>
    <row r="37" spans="2:18" ht="9.75" customHeight="1">
      <c r="B37" s="134"/>
      <c r="C37" s="134"/>
      <c r="D37" s="13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48"/>
    </row>
    <row r="38" spans="2:18">
      <c r="B38" s="134" t="s">
        <v>268</v>
      </c>
      <c r="C38" s="134"/>
      <c r="D38" s="13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48"/>
    </row>
    <row r="39" spans="2:18" ht="9.75" customHeight="1">
      <c r="B39" s="134"/>
      <c r="C39" s="134"/>
      <c r="D39" s="13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134" t="s">
        <v>269</v>
      </c>
      <c r="C40" s="134"/>
      <c r="D40" s="13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137"/>
      <c r="J41" s="62"/>
      <c r="N41" s="341"/>
      <c r="O41" s="341"/>
      <c r="P41" s="341"/>
      <c r="Q41" s="341"/>
    </row>
    <row r="42" spans="2:18">
      <c r="B42" s="134" t="s">
        <v>270</v>
      </c>
      <c r="C42" s="134"/>
      <c r="D42" s="13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B43" s="39"/>
      <c r="C43" s="39"/>
      <c r="D43" s="39"/>
      <c r="E43" s="285" t="s">
        <v>12</v>
      </c>
      <c r="F43" s="285"/>
      <c r="G43" s="285"/>
      <c r="H43" s="285"/>
      <c r="J43" s="3"/>
      <c r="N43" s="341"/>
      <c r="O43" s="341"/>
      <c r="P43" s="341"/>
      <c r="Q43" s="341"/>
    </row>
  </sheetData>
  <mergeCells count="47">
    <mergeCell ref="E43:F43"/>
    <mergeCell ref="G43:H43"/>
    <mergeCell ref="B2:I3"/>
    <mergeCell ref="I40:J40"/>
    <mergeCell ref="E41:F41"/>
    <mergeCell ref="E42:F42"/>
    <mergeCell ref="G42:H42"/>
    <mergeCell ref="I42:J42"/>
    <mergeCell ref="I37:J37"/>
    <mergeCell ref="E38:F38"/>
    <mergeCell ref="G38:H38"/>
    <mergeCell ref="I38:J38"/>
    <mergeCell ref="E39:F39"/>
    <mergeCell ref="G39:H39"/>
    <mergeCell ref="I39:J39"/>
    <mergeCell ref="H34:I34"/>
    <mergeCell ref="G14:H14"/>
    <mergeCell ref="I14:I15"/>
    <mergeCell ref="H35:I35"/>
    <mergeCell ref="E36:F36"/>
    <mergeCell ref="G36:H36"/>
    <mergeCell ref="D32:E32"/>
    <mergeCell ref="F32:G32"/>
    <mergeCell ref="H32:I32"/>
    <mergeCell ref="D33:E33"/>
    <mergeCell ref="F33:G33"/>
    <mergeCell ref="H33:I33"/>
    <mergeCell ref="B14:B15"/>
    <mergeCell ref="C14:C15"/>
    <mergeCell ref="D14:D15"/>
    <mergeCell ref="E14:E15"/>
    <mergeCell ref="F14:F15"/>
    <mergeCell ref="E37:F37"/>
    <mergeCell ref="G37:H37"/>
    <mergeCell ref="E40:F40"/>
    <mergeCell ref="G40:H40"/>
    <mergeCell ref="D35:E35"/>
    <mergeCell ref="D5:F5"/>
    <mergeCell ref="D12:E12"/>
    <mergeCell ref="D34:E34"/>
    <mergeCell ref="F34:G34"/>
    <mergeCell ref="F35:G35"/>
    <mergeCell ref="B30:K30"/>
    <mergeCell ref="D31:E31"/>
    <mergeCell ref="F31:G31"/>
    <mergeCell ref="H31:I31"/>
    <mergeCell ref="B13:I13"/>
  </mergeCells>
  <printOptions horizontalCentered="1"/>
  <pageMargins left="0.43307086614173229" right="0.19685039370078741" top="0.15748031496062992" bottom="0.31496062992125984" header="0.31496062992125984" footer="0.31496062992125984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7109375" style="1" customWidth="1"/>
    <col min="3" max="3" width="11.5703125" style="3" customWidth="1"/>
    <col min="4" max="4" width="8.85546875" style="3" customWidth="1"/>
    <col min="5" max="5" width="9.42578125" style="3" customWidth="1"/>
    <col min="6" max="6" width="10.140625" style="3" customWidth="1"/>
    <col min="7" max="7" width="10" style="1" customWidth="1"/>
    <col min="8" max="8" width="10.28515625" style="1" customWidth="1"/>
    <col min="9" max="9" width="10.42578125" style="1" customWidth="1"/>
    <col min="10" max="10" width="10.7109375" style="1" bestFit="1" customWidth="1"/>
    <col min="11" max="12" width="9.140625" style="1"/>
    <col min="13" max="13" width="13.42578125" style="1" customWidth="1"/>
    <col min="14" max="14" width="16.28515625" style="339" customWidth="1"/>
    <col min="15" max="15" width="16.140625" style="339" bestFit="1" customWidth="1"/>
    <col min="16" max="16" width="13" style="339" customWidth="1"/>
    <col min="17" max="17" width="12.4257812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.7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2" customHeight="1"/>
    <row r="5" spans="1:18">
      <c r="B5" s="1" t="s">
        <v>0</v>
      </c>
      <c r="D5" s="299" t="s">
        <v>104</v>
      </c>
      <c r="E5" s="299"/>
      <c r="F5" s="299"/>
    </row>
    <row r="6" spans="1:18">
      <c r="B6" s="1" t="s">
        <v>1</v>
      </c>
      <c r="D6" s="22">
        <v>1955</v>
      </c>
      <c r="E6" s="22"/>
      <c r="F6" s="22"/>
    </row>
    <row r="7" spans="1:18" hidden="1" outlineLevel="1">
      <c r="B7" s="1" t="s">
        <v>2</v>
      </c>
      <c r="D7" s="22">
        <v>2</v>
      </c>
      <c r="E7" s="22"/>
      <c r="F7" s="22"/>
    </row>
    <row r="8" spans="1:18" hidden="1" outlineLevel="1">
      <c r="B8" s="1" t="s">
        <v>3</v>
      </c>
      <c r="D8" s="22">
        <v>8</v>
      </c>
      <c r="E8" s="22"/>
      <c r="F8" s="22"/>
    </row>
    <row r="9" spans="1:18" ht="30.75" hidden="1" customHeight="1" outlineLevel="1">
      <c r="B9" s="2" t="s">
        <v>4</v>
      </c>
      <c r="C9" s="7"/>
      <c r="D9" s="38" t="s">
        <v>105</v>
      </c>
      <c r="E9" s="22"/>
      <c r="F9" s="22"/>
    </row>
    <row r="10" spans="1:18" collapsed="1">
      <c r="B10" s="1" t="s">
        <v>5</v>
      </c>
      <c r="D10" s="22" t="s">
        <v>106</v>
      </c>
      <c r="E10" s="22"/>
      <c r="F10" s="22"/>
      <c r="J10" s="10"/>
    </row>
    <row r="11" spans="1:18" hidden="1" outlineLevel="1">
      <c r="B11" s="1" t="s">
        <v>6</v>
      </c>
      <c r="D11" s="22" t="s">
        <v>16</v>
      </c>
      <c r="E11" s="22"/>
      <c r="F11" s="22"/>
    </row>
    <row r="12" spans="1:18" ht="30.75" hidden="1" customHeight="1" outlineLevel="1">
      <c r="B12" s="2" t="s">
        <v>7</v>
      </c>
      <c r="C12" s="7"/>
      <c r="D12" s="323" t="s">
        <v>72</v>
      </c>
      <c r="E12" s="323"/>
      <c r="F12" s="22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19629.439999999999</v>
      </c>
      <c r="O15" s="341">
        <v>22113.77</v>
      </c>
      <c r="P15" s="341">
        <f>19958.1*0.98</f>
        <v>19558.937999999998</v>
      </c>
      <c r="Q15" s="341">
        <f>22317.51*0.98</f>
        <v>21871.159799999998</v>
      </c>
      <c r="R15" s="339">
        <f>(N15+O15)/(P15+Q15)*100</f>
        <v>100.75576022415279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4913.7551770497867</v>
      </c>
      <c r="H16" s="81">
        <f>($P$15/$P$16*E16)+($Q$15/$Q$16*F16)</f>
        <v>4877.6229285116015</v>
      </c>
      <c r="I16" s="82">
        <f>H16-G16</f>
        <v>-36.132248538185195</v>
      </c>
      <c r="J16" s="43"/>
      <c r="K16" s="12"/>
      <c r="L16" s="12"/>
      <c r="M16" s="13"/>
      <c r="N16" s="342">
        <v>8.23</v>
      </c>
      <c r="O16" s="341">
        <v>9.27</v>
      </c>
      <c r="P16" s="342">
        <v>8.23</v>
      </c>
      <c r="Q16" s="341">
        <v>9.27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138">
        <v>0.2</v>
      </c>
      <c r="F17" s="136">
        <v>0.2</v>
      </c>
      <c r="G17" s="80">
        <f t="shared" ref="G17:G27" si="0">($N$15/$N$16*E17)+($O$15/$O$16*F17)</f>
        <v>954.1256195595613</v>
      </c>
      <c r="H17" s="53">
        <f t="shared" ref="H17:H27" si="1">($P$15/$P$16*E17)+($Q$15/$Q$16*F17)</f>
        <v>947.17801820634111</v>
      </c>
      <c r="I17" s="82">
        <f t="shared" ref="I17:I27" si="2">H17-G17</f>
        <v>-6.9476013532201932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138">
        <v>0.28000000000000003</v>
      </c>
      <c r="F18" s="136">
        <v>0.27</v>
      </c>
      <c r="G18" s="80">
        <f t="shared" si="0"/>
        <v>1311.9206678148853</v>
      </c>
      <c r="H18" s="53">
        <f t="shared" si="1"/>
        <v>1302.4557413464827</v>
      </c>
      <c r="I18" s="82">
        <f t="shared" si="2"/>
        <v>-9.4649264684026093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138">
        <v>0.03</v>
      </c>
      <c r="F19" s="136">
        <v>0.02</v>
      </c>
      <c r="G19" s="80">
        <f t="shared" si="0"/>
        <v>119.26364336543365</v>
      </c>
      <c r="H19" s="53">
        <f t="shared" si="1"/>
        <v>118.48321858855633</v>
      </c>
      <c r="I19" s="82">
        <f t="shared" si="2"/>
        <v>-0.78042477687732514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138">
        <v>1.1399999999999999</v>
      </c>
      <c r="F20" s="136">
        <v>1.33</v>
      </c>
      <c r="G20" s="80">
        <f t="shared" si="0"/>
        <v>5891.7648232910087</v>
      </c>
      <c r="H20" s="53">
        <f t="shared" si="1"/>
        <v>5847.190902481645</v>
      </c>
      <c r="I20" s="82">
        <f t="shared" si="2"/>
        <v>-44.573920809363699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138">
        <v>3.67</v>
      </c>
      <c r="F21" s="136">
        <v>3.33</v>
      </c>
      <c r="G21" s="80">
        <f t="shared" si="0"/>
        <v>16697.128333588931</v>
      </c>
      <c r="H21" s="53">
        <f t="shared" si="1"/>
        <v>16578.538173244935</v>
      </c>
      <c r="I21" s="82">
        <f t="shared" si="2"/>
        <v>-118.5901603439961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138">
        <v>1.94</v>
      </c>
      <c r="F22" s="136">
        <v>2.1</v>
      </c>
      <c r="G22" s="80">
        <v>9101.52</v>
      </c>
      <c r="H22" s="53">
        <v>9223.85</v>
      </c>
      <c r="I22" s="82">
        <f t="shared" si="2"/>
        <v>122.32999999999993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138">
        <v>0.22</v>
      </c>
      <c r="F23" s="136">
        <v>0.21</v>
      </c>
      <c r="G23" s="80">
        <f t="shared" si="0"/>
        <v>1025.6829819470167</v>
      </c>
      <c r="H23" s="53">
        <f t="shared" si="1"/>
        <v>1018.3023358845803</v>
      </c>
      <c r="I23" s="82">
        <f t="shared" si="2"/>
        <v>-7.3806460624364263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138">
        <v>4.8499999999999996</v>
      </c>
      <c r="F24" s="136">
        <v>4.8499999999999996</v>
      </c>
      <c r="G24" s="80">
        <v>23135.55</v>
      </c>
      <c r="H24" s="53">
        <v>0</v>
      </c>
      <c r="I24" s="82">
        <f t="shared" si="2"/>
        <v>-23135.55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138">
        <v>0.71</v>
      </c>
      <c r="F25" s="136">
        <v>1.44</v>
      </c>
      <c r="G25" s="80">
        <f t="shared" si="0"/>
        <v>5128.5755179369817</v>
      </c>
      <c r="H25" s="53">
        <f t="shared" si="1"/>
        <v>5084.806307027332</v>
      </c>
      <c r="I25" s="82">
        <f t="shared" si="2"/>
        <v>-43.769210909649701</v>
      </c>
      <c r="J25" s="5"/>
      <c r="K25" s="135"/>
      <c r="L25" s="13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138">
        <v>0.26</v>
      </c>
      <c r="F26" s="136">
        <v>0.73</v>
      </c>
      <c r="G26" s="80">
        <f t="shared" si="0"/>
        <v>2361.557685146955</v>
      </c>
      <c r="H26" s="53">
        <f t="shared" si="1"/>
        <v>2340.2251783607999</v>
      </c>
      <c r="I26" s="82">
        <f t="shared" si="2"/>
        <v>-21.332506786155136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0.71</v>
      </c>
      <c r="F27" s="106">
        <v>0.69</v>
      </c>
      <c r="G27" s="107">
        <f t="shared" si="0"/>
        <v>3339.4355502994413</v>
      </c>
      <c r="H27" s="119">
        <f t="shared" si="1"/>
        <v>3315.2949963477208</v>
      </c>
      <c r="I27" s="109">
        <f t="shared" si="2"/>
        <v>-24.140553951720449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15.02</v>
      </c>
      <c r="F28" s="113">
        <f>SUM(F16:F27)</f>
        <v>16.220000000000002</v>
      </c>
      <c r="G28" s="114">
        <f>SUM(G16:G27)</f>
        <v>73980.280000000013</v>
      </c>
      <c r="H28" s="115">
        <f>SUM(H16:H27)</f>
        <v>50653.947800000002</v>
      </c>
      <c r="I28" s="116">
        <f>H28-G28</f>
        <v>-23326.332200000012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132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73980.28</v>
      </c>
      <c r="E32" s="296"/>
      <c r="F32" s="295">
        <f>19629.44+22113.77+9101.52</f>
        <v>50844.729999999996</v>
      </c>
      <c r="G32" s="296"/>
      <c r="H32" s="295">
        <f>G24</f>
        <v>23135.55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70017.560000000012</v>
      </c>
      <c r="E33" s="296"/>
      <c r="F33" s="295">
        <f>18574.63+20925.47+8625.12</f>
        <v>48125.220000000008</v>
      </c>
      <c r="G33" s="296"/>
      <c r="H33" s="295">
        <v>21892.34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50653.947800000002</v>
      </c>
      <c r="E34" s="315"/>
      <c r="F34" s="314">
        <f>H16+H17+H18+H19+H20+H21+H22+H23+H25+H26+H27</f>
        <v>50653.947800000002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19363.612200000007</v>
      </c>
      <c r="E35" s="318"/>
      <c r="F35" s="319">
        <f>F33-F34</f>
        <v>-2528.7277999999933</v>
      </c>
      <c r="G35" s="320"/>
      <c r="H35" s="319">
        <f>H33-H34</f>
        <v>21892.34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134" t="s">
        <v>267</v>
      </c>
      <c r="C36" s="134"/>
      <c r="D36" s="13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134"/>
      <c r="C37" s="134"/>
      <c r="D37" s="13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134" t="s">
        <v>268</v>
      </c>
      <c r="C38" s="134"/>
      <c r="D38" s="13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134"/>
      <c r="C39" s="134"/>
      <c r="D39" s="13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134" t="s">
        <v>269</v>
      </c>
      <c r="C40" s="134"/>
      <c r="D40" s="13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137"/>
      <c r="J41" s="62"/>
      <c r="N41" s="341"/>
      <c r="O41" s="341"/>
      <c r="P41" s="341"/>
      <c r="Q41" s="341"/>
    </row>
    <row r="42" spans="2:18">
      <c r="B42" s="134" t="s">
        <v>270</v>
      </c>
      <c r="C42" s="134"/>
      <c r="D42" s="13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B43" s="39"/>
      <c r="C43" s="39"/>
      <c r="D43" s="39"/>
      <c r="E43" s="285" t="s">
        <v>12</v>
      </c>
      <c r="F43" s="285"/>
      <c r="G43" s="285"/>
      <c r="H43" s="285"/>
      <c r="I43" s="3"/>
      <c r="J43" s="3"/>
      <c r="N43" s="341"/>
      <c r="O43" s="341"/>
      <c r="P43" s="341"/>
      <c r="Q43" s="341"/>
    </row>
  </sheetData>
  <mergeCells count="47">
    <mergeCell ref="G42:H42"/>
    <mergeCell ref="I42:J42"/>
    <mergeCell ref="E43:F43"/>
    <mergeCell ref="G43:H43"/>
    <mergeCell ref="B2:I3"/>
    <mergeCell ref="B30:I30"/>
    <mergeCell ref="I38:J38"/>
    <mergeCell ref="E39:F39"/>
    <mergeCell ref="G39:H39"/>
    <mergeCell ref="I39:J39"/>
    <mergeCell ref="E40:F40"/>
    <mergeCell ref="G40:H40"/>
    <mergeCell ref="I40:J40"/>
    <mergeCell ref="H35:I35"/>
    <mergeCell ref="E36:F36"/>
    <mergeCell ref="G36:H36"/>
    <mergeCell ref="E37:F37"/>
    <mergeCell ref="G37:H37"/>
    <mergeCell ref="I37:J37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E41:F41"/>
    <mergeCell ref="E42:F42"/>
    <mergeCell ref="D5:F5"/>
    <mergeCell ref="D12:E12"/>
    <mergeCell ref="F35:G35"/>
    <mergeCell ref="E38:F38"/>
    <mergeCell ref="G38:H38"/>
    <mergeCell ref="D35:E35"/>
    <mergeCell ref="B13:I13"/>
    <mergeCell ref="B14:B15"/>
    <mergeCell ref="C14:C15"/>
    <mergeCell ref="D14:D15"/>
    <mergeCell ref="E14:E15"/>
    <mergeCell ref="F14:F15"/>
    <mergeCell ref="G14:H14"/>
    <mergeCell ref="I14:I15"/>
  </mergeCells>
  <printOptions horizontalCentered="1"/>
  <pageMargins left="0.39" right="0.19685039370078741" top="0.47244094488188981" bottom="0.23622047244094491" header="0.47244094488188981" footer="0.31496062992125984"/>
  <pageSetup paperSize="9" scale="4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" style="1" customWidth="1"/>
    <col min="3" max="3" width="12.7109375" style="3" customWidth="1"/>
    <col min="4" max="4" width="8.85546875" style="3" customWidth="1"/>
    <col min="5" max="5" width="9.5703125" style="3" customWidth="1"/>
    <col min="6" max="6" width="10.28515625" style="3" customWidth="1"/>
    <col min="7" max="7" width="9.85546875" style="1" customWidth="1"/>
    <col min="8" max="8" width="10.28515625" style="1" customWidth="1"/>
    <col min="9" max="9" width="11.140625" style="1" customWidth="1"/>
    <col min="10" max="10" width="10.7109375" style="1" bestFit="1" customWidth="1"/>
    <col min="11" max="12" width="9.140625" style="1"/>
    <col min="13" max="13" width="12.42578125" style="1" customWidth="1"/>
    <col min="14" max="14" width="13.42578125" style="339" customWidth="1"/>
    <col min="15" max="15" width="12.28515625" style="339" customWidth="1"/>
    <col min="16" max="16" width="11.85546875" style="339" customWidth="1"/>
    <col min="17" max="17" width="12.855468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0.2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8.25" customHeight="1"/>
    <row r="5" spans="1:18">
      <c r="B5" s="1" t="s">
        <v>0</v>
      </c>
      <c r="D5" s="299" t="s">
        <v>107</v>
      </c>
      <c r="E5" s="299"/>
      <c r="F5" s="299"/>
    </row>
    <row r="6" spans="1:18">
      <c r="B6" s="1" t="s">
        <v>1</v>
      </c>
      <c r="D6" s="22">
        <v>1955</v>
      </c>
      <c r="E6" s="22"/>
      <c r="F6" s="22"/>
    </row>
    <row r="7" spans="1:18" hidden="1" outlineLevel="1">
      <c r="B7" s="1" t="s">
        <v>2</v>
      </c>
      <c r="D7" s="22">
        <v>2</v>
      </c>
      <c r="E7" s="22"/>
      <c r="F7" s="22"/>
    </row>
    <row r="8" spans="1:18" hidden="1" outlineLevel="1">
      <c r="B8" s="1" t="s">
        <v>3</v>
      </c>
      <c r="D8" s="22">
        <v>8</v>
      </c>
      <c r="E8" s="22"/>
      <c r="F8" s="22"/>
    </row>
    <row r="9" spans="1:18" ht="30.75" hidden="1" customHeight="1" outlineLevel="1">
      <c r="B9" s="2" t="s">
        <v>4</v>
      </c>
      <c r="C9" s="7"/>
      <c r="D9" s="22" t="s">
        <v>108</v>
      </c>
      <c r="E9" s="22"/>
      <c r="F9" s="22"/>
    </row>
    <row r="10" spans="1:18" collapsed="1">
      <c r="B10" s="1" t="s">
        <v>5</v>
      </c>
      <c r="D10" s="22" t="s">
        <v>109</v>
      </c>
      <c r="E10" s="22"/>
      <c r="F10" s="22"/>
      <c r="J10" s="10"/>
    </row>
    <row r="11" spans="1:18" hidden="1" outlineLevel="1">
      <c r="B11" s="1" t="s">
        <v>6</v>
      </c>
      <c r="D11" s="22" t="s">
        <v>16</v>
      </c>
      <c r="E11" s="22"/>
      <c r="F11" s="22"/>
    </row>
    <row r="12" spans="1:18" ht="30.75" hidden="1" customHeight="1" outlineLevel="1">
      <c r="B12" s="2" t="s">
        <v>7</v>
      </c>
      <c r="C12" s="7"/>
      <c r="D12" s="323" t="s">
        <v>72</v>
      </c>
      <c r="E12" s="323"/>
      <c r="F12" s="22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19988.34</v>
      </c>
      <c r="O15" s="341">
        <v>22518.09</v>
      </c>
      <c r="P15" s="341">
        <f>20069.74*0.99</f>
        <v>19869.042600000001</v>
      </c>
      <c r="Q15" s="341">
        <f>22442.35*0.99</f>
        <v>22217.926499999998</v>
      </c>
      <c r="R15" s="339">
        <f>(N15+O15)/(P15+Q15)*100</f>
        <v>100.99665266701278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5003.5967767698094</v>
      </c>
      <c r="H16" s="81">
        <f>($P$15/$P$16*E16)+($Q$15/$Q$16*F16)</f>
        <v>4954.9572891658499</v>
      </c>
      <c r="I16" s="82">
        <f>H16-G16</f>
        <v>-48.639487603959424</v>
      </c>
      <c r="J16" s="43"/>
      <c r="K16" s="12"/>
      <c r="L16" s="12"/>
      <c r="M16" s="13"/>
      <c r="N16" s="342">
        <v>8.23</v>
      </c>
      <c r="O16" s="341">
        <v>9.27</v>
      </c>
      <c r="P16" s="342">
        <v>8.23</v>
      </c>
      <c r="Q16" s="341">
        <v>9.27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138">
        <v>0.2</v>
      </c>
      <c r="F17" s="136">
        <v>0.2</v>
      </c>
      <c r="G17" s="80">
        <f t="shared" ref="G17:G27" si="0">($N$15/$N$16*E17)+($O$15/$O$16*F17)</f>
        <v>971.57056235180323</v>
      </c>
      <c r="H17" s="53">
        <f t="shared" ref="H17:H27" si="1">($P$15/$P$16*E17)+($Q$15/$Q$16*F17)</f>
        <v>962.19545666458248</v>
      </c>
      <c r="I17" s="82">
        <f t="shared" ref="I17:I27" si="2">H17-G17</f>
        <v>-9.3751056872207528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138">
        <v>0.28000000000000003</v>
      </c>
      <c r="F18" s="136">
        <v>0.27</v>
      </c>
      <c r="G18" s="80">
        <f t="shared" si="0"/>
        <v>1335.9074280692234</v>
      </c>
      <c r="H18" s="53">
        <f t="shared" si="1"/>
        <v>1323.1060810779884</v>
      </c>
      <c r="I18" s="82">
        <f t="shared" si="2"/>
        <v>-12.80134699123505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138">
        <v>0.04</v>
      </c>
      <c r="F19" s="136">
        <v>0.03</v>
      </c>
      <c r="G19" s="80">
        <f t="shared" si="0"/>
        <v>170.02275324705965</v>
      </c>
      <c r="H19" s="53">
        <f t="shared" si="1"/>
        <v>168.47153308048934</v>
      </c>
      <c r="I19" s="82">
        <f t="shared" si="2"/>
        <v>-1.5512201665703174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138">
        <v>1.1399999999999999</v>
      </c>
      <c r="F20" s="136">
        <v>1.33</v>
      </c>
      <c r="G20" s="80">
        <f t="shared" si="0"/>
        <v>5999.4880306479963</v>
      </c>
      <c r="H20" s="53">
        <f t="shared" si="1"/>
        <v>5939.8977097842362</v>
      </c>
      <c r="I20" s="82">
        <f t="shared" si="2"/>
        <v>-59.590320863760098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138">
        <v>3.67</v>
      </c>
      <c r="F21" s="136">
        <v>3.33</v>
      </c>
      <c r="G21" s="80">
        <f t="shared" si="0"/>
        <v>17002.413605563353</v>
      </c>
      <c r="H21" s="53">
        <f t="shared" si="1"/>
        <v>16841.389649212564</v>
      </c>
      <c r="I21" s="82">
        <f t="shared" si="2"/>
        <v>-161.02395635078938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138">
        <v>1.94</v>
      </c>
      <c r="F22" s="136">
        <v>2.1</v>
      </c>
      <c r="G22" s="80">
        <v>9136.14</v>
      </c>
      <c r="H22" s="53">
        <v>9275.44</v>
      </c>
      <c r="I22" s="82">
        <f t="shared" si="2"/>
        <v>139.30000000000109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138">
        <v>0.22</v>
      </c>
      <c r="F23" s="136">
        <v>0.21</v>
      </c>
      <c r="G23" s="80">
        <f t="shared" si="0"/>
        <v>1044.4362593636824</v>
      </c>
      <c r="H23" s="53">
        <f t="shared" si="1"/>
        <v>1034.4474440786134</v>
      </c>
      <c r="I23" s="82">
        <f t="shared" si="2"/>
        <v>-9.9888152850689949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138">
        <v>4.8499999999999996</v>
      </c>
      <c r="F24" s="136">
        <v>4.8499999999999996</v>
      </c>
      <c r="G24" s="80">
        <v>23558.55</v>
      </c>
      <c r="H24" s="53">
        <v>0</v>
      </c>
      <c r="I24" s="82">
        <f t="shared" si="2"/>
        <v>-23558.55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138">
        <v>0.71</v>
      </c>
      <c r="F25" s="136">
        <v>1.44</v>
      </c>
      <c r="G25" s="80">
        <f t="shared" si="0"/>
        <v>5222.3447196498728</v>
      </c>
      <c r="H25" s="53">
        <f t="shared" si="1"/>
        <v>5165.4256235864523</v>
      </c>
      <c r="I25" s="82">
        <f t="shared" si="2"/>
        <v>-56.919096063420511</v>
      </c>
      <c r="J25" s="5"/>
      <c r="K25" s="135"/>
      <c r="L25" s="13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138">
        <v>0.25</v>
      </c>
      <c r="F26" s="136">
        <v>0.73</v>
      </c>
      <c r="G26" s="80">
        <f t="shared" si="0"/>
        <v>2380.4484456582009</v>
      </c>
      <c r="H26" s="53">
        <f t="shared" si="1"/>
        <v>2353.1871169472329</v>
      </c>
      <c r="I26" s="82">
        <f t="shared" si="2"/>
        <v>-27.261328710967973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0.71</v>
      </c>
      <c r="F27" s="106">
        <v>0.68</v>
      </c>
      <c r="G27" s="107">
        <f t="shared" si="0"/>
        <v>3376.2014186789984</v>
      </c>
      <c r="H27" s="119">
        <f t="shared" si="1"/>
        <v>3343.8911964019862</v>
      </c>
      <c r="I27" s="109">
        <f t="shared" si="2"/>
        <v>-32.310222277012144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15.02</v>
      </c>
      <c r="F28" s="113">
        <f>SUM(F16:F27)</f>
        <v>16.220000000000002</v>
      </c>
      <c r="G28" s="114">
        <f>SUM(G16:G27)</f>
        <v>75201.12000000001</v>
      </c>
      <c r="H28" s="115">
        <f>SUM(H16:H27)</f>
        <v>51362.409099999997</v>
      </c>
      <c r="I28" s="116">
        <f>H28-G28</f>
        <v>-23838.710900000013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132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75201.119999999995</v>
      </c>
      <c r="E32" s="296"/>
      <c r="F32" s="295">
        <f>19988.34+22518.09+9136.14</f>
        <v>51642.57</v>
      </c>
      <c r="G32" s="296"/>
      <c r="H32" s="295">
        <f>G24</f>
        <v>23558.55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56720.07</v>
      </c>
      <c r="E33" s="296"/>
      <c r="F33" s="295">
        <f>15045.78+16950+6991.11</f>
        <v>38986.89</v>
      </c>
      <c r="G33" s="296"/>
      <c r="H33" s="295">
        <v>17733.18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51362.409099999997</v>
      </c>
      <c r="E34" s="315"/>
      <c r="F34" s="314">
        <f>H16+H17+H18+H19+H20+H21+H22+H23+H25+H26+H27</f>
        <v>51362.409099999997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5357.6609000000026</v>
      </c>
      <c r="E35" s="318"/>
      <c r="F35" s="319">
        <f>F33-F34</f>
        <v>-12375.519099999998</v>
      </c>
      <c r="G35" s="320"/>
      <c r="H35" s="319">
        <f>H33-H34</f>
        <v>17733.18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134" t="s">
        <v>267</v>
      </c>
      <c r="C36" s="134"/>
      <c r="D36" s="13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134"/>
      <c r="C37" s="134"/>
      <c r="D37" s="13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134" t="s">
        <v>268</v>
      </c>
      <c r="C38" s="134"/>
      <c r="D38" s="13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134"/>
      <c r="C39" s="134"/>
      <c r="D39" s="13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134" t="s">
        <v>269</v>
      </c>
      <c r="C40" s="134"/>
      <c r="D40" s="13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137"/>
      <c r="J41" s="62"/>
      <c r="N41" s="341"/>
      <c r="O41" s="341"/>
      <c r="P41" s="341"/>
      <c r="Q41" s="341"/>
    </row>
    <row r="42" spans="2:18">
      <c r="B42" s="134" t="s">
        <v>270</v>
      </c>
      <c r="C42" s="134"/>
      <c r="D42" s="13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" customHeight="1">
      <c r="E43" s="285" t="s">
        <v>12</v>
      </c>
      <c r="F43" s="285"/>
    </row>
  </sheetData>
  <mergeCells count="46">
    <mergeCell ref="E43:F43"/>
    <mergeCell ref="G40:H40"/>
    <mergeCell ref="I40:J40"/>
    <mergeCell ref="E41:F41"/>
    <mergeCell ref="E42:F42"/>
    <mergeCell ref="G42:H42"/>
    <mergeCell ref="I42:J42"/>
    <mergeCell ref="E40:F40"/>
    <mergeCell ref="E38:F38"/>
    <mergeCell ref="G38:H38"/>
    <mergeCell ref="I38:J38"/>
    <mergeCell ref="E39:F39"/>
    <mergeCell ref="G39:H39"/>
    <mergeCell ref="I39:J39"/>
    <mergeCell ref="D32:E32"/>
    <mergeCell ref="F32:G32"/>
    <mergeCell ref="H32:I32"/>
    <mergeCell ref="D33:E33"/>
    <mergeCell ref="F33:G33"/>
    <mergeCell ref="H33:I33"/>
    <mergeCell ref="G14:H14"/>
    <mergeCell ref="I14:I15"/>
    <mergeCell ref="B30:I30"/>
    <mergeCell ref="D31:E31"/>
    <mergeCell ref="F31:G31"/>
    <mergeCell ref="H31:I31"/>
    <mergeCell ref="B14:B15"/>
    <mergeCell ref="C14:C15"/>
    <mergeCell ref="D14:D15"/>
    <mergeCell ref="E14:E15"/>
    <mergeCell ref="F14:F15"/>
    <mergeCell ref="E36:F36"/>
    <mergeCell ref="G36:H36"/>
    <mergeCell ref="E37:F37"/>
    <mergeCell ref="G37:H37"/>
    <mergeCell ref="D34:E34"/>
    <mergeCell ref="D35:E35"/>
    <mergeCell ref="H34:I34"/>
    <mergeCell ref="H35:I35"/>
    <mergeCell ref="I37:J37"/>
    <mergeCell ref="D5:F5"/>
    <mergeCell ref="D12:E12"/>
    <mergeCell ref="B2:I3"/>
    <mergeCell ref="F34:G34"/>
    <mergeCell ref="F35:G35"/>
    <mergeCell ref="B13:I13"/>
  </mergeCells>
  <printOptions horizontalCentered="1"/>
  <pageMargins left="0.32" right="0.19685039370078741" top="0.19685039370078741" bottom="0.27559055118110237" header="0.31496062992125984" footer="0.23622047244094491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2.7109375" style="3" customWidth="1"/>
    <col min="4" max="4" width="8.5703125" style="3" customWidth="1"/>
    <col min="5" max="5" width="10" style="3" customWidth="1"/>
    <col min="6" max="6" width="9.85546875" style="3" customWidth="1"/>
    <col min="7" max="7" width="10.140625" style="3" customWidth="1"/>
    <col min="8" max="8" width="12.7109375" style="1" customWidth="1"/>
    <col min="9" max="9" width="11.7109375" style="3" customWidth="1"/>
    <col min="10" max="10" width="10.7109375" style="1" bestFit="1" customWidth="1"/>
    <col min="11" max="11" width="11.85546875" style="1" customWidth="1"/>
    <col min="12" max="12" width="13.85546875" style="1" customWidth="1"/>
    <col min="13" max="13" width="9.140625" style="1"/>
    <col min="14" max="14" width="12.7109375" style="339" customWidth="1"/>
    <col min="15" max="15" width="11.42578125" style="339" customWidth="1"/>
    <col min="16" max="16" width="11.28515625" style="339" customWidth="1"/>
    <col min="17" max="17" width="13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99"/>
      <c r="B3" s="313"/>
      <c r="C3" s="313"/>
      <c r="D3" s="313"/>
      <c r="E3" s="313"/>
      <c r="F3" s="313"/>
      <c r="G3" s="313"/>
      <c r="H3" s="313"/>
      <c r="I3" s="313"/>
    </row>
    <row r="5" spans="1:18">
      <c r="B5" s="1" t="s">
        <v>0</v>
      </c>
      <c r="D5" s="299" t="s">
        <v>110</v>
      </c>
      <c r="E5" s="299"/>
      <c r="F5" s="299"/>
    </row>
    <row r="6" spans="1:18">
      <c r="B6" s="1" t="s">
        <v>1</v>
      </c>
      <c r="D6" s="23">
        <v>1956</v>
      </c>
      <c r="E6" s="23"/>
      <c r="F6" s="23"/>
    </row>
    <row r="7" spans="1:18" hidden="1" outlineLevel="1">
      <c r="B7" s="1" t="s">
        <v>2</v>
      </c>
      <c r="D7" s="23">
        <v>2</v>
      </c>
      <c r="E7" s="23"/>
      <c r="F7" s="23"/>
    </row>
    <row r="8" spans="1:18" hidden="1" outlineLevel="1">
      <c r="B8" s="1" t="s">
        <v>3</v>
      </c>
      <c r="D8" s="23">
        <v>11</v>
      </c>
      <c r="E8" s="23"/>
      <c r="F8" s="23"/>
    </row>
    <row r="9" spans="1:18" ht="31.5" hidden="1" outlineLevel="1">
      <c r="B9" s="2" t="s">
        <v>4</v>
      </c>
      <c r="C9" s="7"/>
      <c r="D9" s="23" t="s">
        <v>111</v>
      </c>
      <c r="E9" s="23"/>
      <c r="F9" s="23"/>
    </row>
    <row r="10" spans="1:18" collapsed="1">
      <c r="B10" s="1" t="s">
        <v>5</v>
      </c>
      <c r="D10" s="38" t="s">
        <v>257</v>
      </c>
      <c r="E10" s="23"/>
      <c r="F10" s="23"/>
      <c r="J10" s="10"/>
    </row>
    <row r="11" spans="1:18" hidden="1" outlineLevel="1">
      <c r="B11" s="1" t="s">
        <v>6</v>
      </c>
      <c r="D11" s="23" t="s">
        <v>112</v>
      </c>
      <c r="E11" s="23"/>
      <c r="F11" s="23"/>
    </row>
    <row r="12" spans="1:18" ht="31.5" hidden="1" outlineLevel="1">
      <c r="B12" s="2" t="s">
        <v>7</v>
      </c>
      <c r="C12" s="7"/>
      <c r="D12" s="323" t="s">
        <v>113</v>
      </c>
      <c r="E12" s="323"/>
      <c r="F12" s="23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35251.68</v>
      </c>
      <c r="O15" s="341">
        <v>39500.6</v>
      </c>
      <c r="P15" s="341">
        <f>32613.95*1.07</f>
        <v>34896.926500000001</v>
      </c>
      <c r="Q15" s="341">
        <f>36469.53*1.07</f>
        <v>39022.397100000002</v>
      </c>
      <c r="R15" s="339">
        <f>(N15+O15)/(P15+Q15)*100</f>
        <v>101.12684526783195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7992.8311281239457</v>
      </c>
      <c r="H16" s="81">
        <f>($P$15/$P$16*E16)+($Q$15/$Q$16*F16)</f>
        <v>7904.1136487896747</v>
      </c>
      <c r="I16" s="82">
        <f>H16-G16</f>
        <v>-88.717479334271047</v>
      </c>
      <c r="J16" s="43"/>
      <c r="K16" s="12"/>
      <c r="L16" s="12"/>
      <c r="M16" s="13"/>
      <c r="N16" s="342">
        <v>9.0399999999999991</v>
      </c>
      <c r="O16" s="341">
        <v>10.23</v>
      </c>
      <c r="P16" s="342">
        <v>9.0399999999999991</v>
      </c>
      <c r="Q16" s="341">
        <v>10.23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31">
        <v>1.1299999999999999</v>
      </c>
      <c r="F17" s="230">
        <v>1.17</v>
      </c>
      <c r="G17" s="80">
        <f t="shared" ref="G17:G27" si="0">($N$15/$N$16*E17)+($O$15/$O$16*F17)</f>
        <v>8924.1239296187669</v>
      </c>
      <c r="H17" s="53">
        <f t="shared" ref="H17:H27" si="1">($P$15/$P$16*E17)+($Q$15/$Q$16*F17)</f>
        <v>8825.0879148460408</v>
      </c>
      <c r="I17" s="82">
        <f t="shared" ref="I17:I27" si="2">H17-G17</f>
        <v>-99.036014772726048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31">
        <v>0.28000000000000003</v>
      </c>
      <c r="F18" s="230">
        <v>0.27</v>
      </c>
      <c r="G18" s="80">
        <f t="shared" si="0"/>
        <v>2134.4040246022892</v>
      </c>
      <c r="H18" s="53">
        <f t="shared" si="1"/>
        <v>2110.7948934277119</v>
      </c>
      <c r="I18" s="82">
        <f t="shared" si="2"/>
        <v>-23.609131174577215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31">
        <v>0.03</v>
      </c>
      <c r="F19" s="230">
        <v>0.03</v>
      </c>
      <c r="G19" s="80">
        <f t="shared" si="0"/>
        <v>232.82320037370565</v>
      </c>
      <c r="H19" s="53">
        <f t="shared" si="1"/>
        <v>230.24356651409184</v>
      </c>
      <c r="I19" s="82">
        <f t="shared" si="2"/>
        <v>-2.5796338596138071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31">
        <v>1.1399999999999999</v>
      </c>
      <c r="F20" s="230">
        <v>1.33</v>
      </c>
      <c r="G20" s="80">
        <f t="shared" si="0"/>
        <v>9580.9193463611264</v>
      </c>
      <c r="H20" s="53">
        <f t="shared" si="1"/>
        <v>9474.0116809079227</v>
      </c>
      <c r="I20" s="82">
        <f t="shared" si="2"/>
        <v>-106.90766545320366</v>
      </c>
      <c r="J20" s="5"/>
      <c r="N20" s="341"/>
      <c r="O20" s="341"/>
      <c r="P20" s="341"/>
      <c r="Q20" s="341"/>
    </row>
    <row r="21" spans="2:18" ht="145.5" customHeight="1">
      <c r="B21" s="102" t="s">
        <v>282</v>
      </c>
      <c r="C21" s="76" t="s">
        <v>303</v>
      </c>
      <c r="D21" s="77" t="s">
        <v>300</v>
      </c>
      <c r="E21" s="231">
        <v>3.67</v>
      </c>
      <c r="F21" s="230">
        <v>3.33</v>
      </c>
      <c r="G21" s="80">
        <f t="shared" si="0"/>
        <v>27169.212763605221</v>
      </c>
      <c r="H21" s="53">
        <f t="shared" si="1"/>
        <v>26869.530906294283</v>
      </c>
      <c r="I21" s="82">
        <f t="shared" si="2"/>
        <v>-299.68185731093763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31">
        <v>1.94</v>
      </c>
      <c r="F22" s="230">
        <v>2</v>
      </c>
      <c r="G22" s="80">
        <v>14846.52</v>
      </c>
      <c r="H22" s="53">
        <v>15072.89</v>
      </c>
      <c r="I22" s="82">
        <f t="shared" si="2"/>
        <v>226.36999999999898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231">
        <v>0.22</v>
      </c>
      <c r="F23" s="230">
        <v>0.21</v>
      </c>
      <c r="G23" s="80">
        <f t="shared" si="0"/>
        <v>1668.7576238548777</v>
      </c>
      <c r="H23" s="53">
        <f t="shared" si="1"/>
        <v>1650.307760399528</v>
      </c>
      <c r="I23" s="82">
        <f t="shared" si="2"/>
        <v>-18.449863455349714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31">
        <v>4.6399999999999997</v>
      </c>
      <c r="F24" s="230">
        <v>4.6399999999999997</v>
      </c>
      <c r="G24" s="80">
        <v>36187.56</v>
      </c>
      <c r="H24" s="53">
        <v>34299</v>
      </c>
      <c r="I24" s="82">
        <f t="shared" si="2"/>
        <v>-1888.5599999999977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31">
        <v>0.71</v>
      </c>
      <c r="F25" s="230">
        <v>1.44</v>
      </c>
      <c r="G25" s="80">
        <f t="shared" si="0"/>
        <v>8328.8624674953935</v>
      </c>
      <c r="H25" s="53">
        <f t="shared" si="1"/>
        <v>8233.6871722118049</v>
      </c>
      <c r="I25" s="82">
        <f t="shared" si="2"/>
        <v>-95.175295283588639</v>
      </c>
      <c r="J25" s="5"/>
      <c r="K25" s="228"/>
      <c r="L25" s="228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31">
        <v>0.25</v>
      </c>
      <c r="F26" s="230">
        <v>0.83</v>
      </c>
      <c r="G26" s="80">
        <f t="shared" si="0"/>
        <v>4179.7190451474489</v>
      </c>
      <c r="H26" s="53">
        <f t="shared" si="1"/>
        <v>4131.109908438546</v>
      </c>
      <c r="I26" s="82">
        <f t="shared" si="2"/>
        <v>-48.609136708902952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0.6</v>
      </c>
      <c r="F27" s="106">
        <v>0.56999999999999995</v>
      </c>
      <c r="G27" s="107">
        <f t="shared" si="0"/>
        <v>4540.6264708172212</v>
      </c>
      <c r="H27" s="119">
        <f t="shared" si="1"/>
        <v>4490.4361481704</v>
      </c>
      <c r="I27" s="109">
        <f t="shared" si="2"/>
        <v>-50.190322646821187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15.62</v>
      </c>
      <c r="F28" s="113">
        <f>SUM(F16:F27)</f>
        <v>16.87</v>
      </c>
      <c r="G28" s="114">
        <f>SUM(G16:G27)</f>
        <v>125786.36</v>
      </c>
      <c r="H28" s="115">
        <f>SUM(H16:H27)</f>
        <v>123291.21360000002</v>
      </c>
      <c r="I28" s="116">
        <f>H28-G28</f>
        <v>-2495.1463999999833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H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3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125786.36</v>
      </c>
      <c r="E32" s="296"/>
      <c r="F32" s="295">
        <f>35251.68+39500.6+14846.52</f>
        <v>89598.8</v>
      </c>
      <c r="G32" s="296"/>
      <c r="H32" s="295">
        <f>G24</f>
        <v>36187.56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124770.15000000001</v>
      </c>
      <c r="E33" s="296"/>
      <c r="F33" s="295">
        <f>34957.73+39171.22+14755.39</f>
        <v>88884.340000000011</v>
      </c>
      <c r="G33" s="296"/>
      <c r="H33" s="295">
        <v>35885.81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123291.21360000002</v>
      </c>
      <c r="E34" s="315"/>
      <c r="F34" s="314">
        <f>H16+H17+H18+H19+H20+H21+H22+H23+H25+H26+H27</f>
        <v>88992.213600000017</v>
      </c>
      <c r="G34" s="315"/>
      <c r="H34" s="314">
        <f>H24</f>
        <v>34299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1478.9363999999914</v>
      </c>
      <c r="E35" s="318"/>
      <c r="F35" s="319">
        <f>F33-F34</f>
        <v>-107.87360000000626</v>
      </c>
      <c r="G35" s="320"/>
      <c r="H35" s="319">
        <f>H33-H34</f>
        <v>1586.8099999999977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25" t="s">
        <v>267</v>
      </c>
      <c r="C36" s="225"/>
      <c r="D36" s="225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25"/>
      <c r="C37" s="225"/>
      <c r="D37" s="225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25" t="s">
        <v>268</v>
      </c>
      <c r="C38" s="225"/>
      <c r="D38" s="225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25"/>
      <c r="C39" s="225"/>
      <c r="D39" s="225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25" t="s">
        <v>269</v>
      </c>
      <c r="C40" s="225"/>
      <c r="D40" s="225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32"/>
      <c r="J41" s="62"/>
      <c r="N41" s="341"/>
      <c r="O41" s="341"/>
      <c r="P41" s="341"/>
      <c r="Q41" s="341"/>
    </row>
    <row r="42" spans="2:18">
      <c r="B42" s="225" t="s">
        <v>270</v>
      </c>
      <c r="C42" s="225"/>
      <c r="D42" s="225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E43:F43"/>
    <mergeCell ref="B30:I30"/>
    <mergeCell ref="D31:E31"/>
    <mergeCell ref="E39:F39"/>
    <mergeCell ref="G39:H39"/>
    <mergeCell ref="E42:F42"/>
    <mergeCell ref="G42:H42"/>
    <mergeCell ref="F31:G31"/>
    <mergeCell ref="H31:I31"/>
    <mergeCell ref="D32:E32"/>
    <mergeCell ref="F32:G32"/>
    <mergeCell ref="H32:I32"/>
    <mergeCell ref="E36:F36"/>
    <mergeCell ref="G36:H36"/>
    <mergeCell ref="D33:E33"/>
    <mergeCell ref="F33:G33"/>
    <mergeCell ref="H33:I33"/>
    <mergeCell ref="F14:F15"/>
    <mergeCell ref="G14:H14"/>
    <mergeCell ref="I14:I15"/>
    <mergeCell ref="D5:F5"/>
    <mergeCell ref="D12:E12"/>
    <mergeCell ref="B13:I13"/>
    <mergeCell ref="B14:B15"/>
    <mergeCell ref="C14:C15"/>
    <mergeCell ref="I42:J42"/>
    <mergeCell ref="I39:J39"/>
    <mergeCell ref="E40:F40"/>
    <mergeCell ref="G40:H40"/>
    <mergeCell ref="I40:J40"/>
    <mergeCell ref="E41:F41"/>
    <mergeCell ref="E37:F37"/>
    <mergeCell ref="G37:H37"/>
    <mergeCell ref="I37:J37"/>
    <mergeCell ref="E38:F38"/>
    <mergeCell ref="G38:H38"/>
    <mergeCell ref="I38:J38"/>
    <mergeCell ref="B2:I3"/>
    <mergeCell ref="D14:D15"/>
    <mergeCell ref="E14:E15"/>
    <mergeCell ref="D35:E35"/>
    <mergeCell ref="F35:G35"/>
    <mergeCell ref="H35:I35"/>
    <mergeCell ref="D34:E34"/>
    <mergeCell ref="F34:G34"/>
    <mergeCell ref="H34:I34"/>
  </mergeCells>
  <printOptions horizontalCentered="1"/>
  <pageMargins left="0.23622047244094491" right="0.27559055118110237" top="0.15748031496062992" bottom="0.23622047244094491" header="0.31496062992125984" footer="0.23622047244094491"/>
  <pageSetup paperSize="9" scale="4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42578125" style="1" customWidth="1"/>
    <col min="3" max="3" width="12.7109375" style="3" customWidth="1"/>
    <col min="4" max="4" width="10.28515625" style="3" customWidth="1"/>
    <col min="5" max="5" width="10.7109375" style="3" customWidth="1"/>
    <col min="6" max="6" width="10.28515625" style="3" customWidth="1"/>
    <col min="7" max="7" width="9.85546875" style="3" customWidth="1"/>
    <col min="8" max="8" width="11.85546875" style="1" customWidth="1"/>
    <col min="9" max="9" width="11.42578125" style="3" customWidth="1"/>
    <col min="10" max="10" width="10.7109375" style="1" bestFit="1" customWidth="1"/>
    <col min="11" max="11" width="12.140625" style="1" customWidth="1"/>
    <col min="12" max="12" width="13.85546875" style="1" customWidth="1"/>
    <col min="13" max="13" width="13.5703125" style="1" customWidth="1"/>
    <col min="14" max="14" width="11.5703125" style="339" customWidth="1"/>
    <col min="15" max="15" width="11.85546875" style="339" customWidth="1"/>
    <col min="16" max="16" width="13.140625" style="339" customWidth="1"/>
    <col min="17" max="17" width="13.855468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.7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1.25" customHeight="1"/>
    <row r="5" spans="1:18">
      <c r="B5" s="1" t="s">
        <v>0</v>
      </c>
      <c r="D5" s="299" t="s">
        <v>114</v>
      </c>
      <c r="E5" s="299"/>
      <c r="F5" s="299"/>
    </row>
    <row r="6" spans="1:18">
      <c r="B6" s="1" t="s">
        <v>1</v>
      </c>
      <c r="D6" s="23">
        <v>1956</v>
      </c>
      <c r="E6" s="23"/>
      <c r="F6" s="23"/>
    </row>
    <row r="7" spans="1:18" hidden="1" outlineLevel="1">
      <c r="B7" s="1" t="s">
        <v>2</v>
      </c>
      <c r="D7" s="23">
        <v>2</v>
      </c>
      <c r="E7" s="23"/>
      <c r="F7" s="23"/>
    </row>
    <row r="8" spans="1:18" hidden="1" outlineLevel="1">
      <c r="B8" s="1" t="s">
        <v>3</v>
      </c>
      <c r="D8" s="23">
        <v>8</v>
      </c>
      <c r="E8" s="23"/>
      <c r="F8" s="23"/>
    </row>
    <row r="9" spans="1:18" ht="31.5" hidden="1" outlineLevel="1">
      <c r="B9" s="2" t="s">
        <v>4</v>
      </c>
      <c r="C9" s="7"/>
      <c r="D9" s="23" t="s">
        <v>115</v>
      </c>
      <c r="E9" s="23"/>
      <c r="F9" s="23"/>
    </row>
    <row r="10" spans="1:18" collapsed="1">
      <c r="B10" s="1" t="s">
        <v>5</v>
      </c>
      <c r="D10" s="23" t="s">
        <v>116</v>
      </c>
      <c r="E10" s="23"/>
      <c r="F10" s="23"/>
      <c r="J10" s="10"/>
    </row>
    <row r="11" spans="1:18" ht="12" hidden="1" customHeight="1" outlineLevel="1">
      <c r="B11" s="1" t="s">
        <v>6</v>
      </c>
      <c r="D11" s="23" t="s">
        <v>16</v>
      </c>
      <c r="E11" s="23"/>
      <c r="F11" s="23"/>
    </row>
    <row r="12" spans="1:18" ht="31.5" hidden="1" outlineLevel="1">
      <c r="B12" s="2" t="s">
        <v>7</v>
      </c>
      <c r="C12" s="7"/>
      <c r="D12" s="323" t="s">
        <v>117</v>
      </c>
      <c r="E12" s="323"/>
      <c r="F12" s="23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22701.98</v>
      </c>
      <c r="O15" s="341">
        <v>24656.02</v>
      </c>
      <c r="P15" s="341">
        <f>20572.11*1.07</f>
        <v>22012.157700000003</v>
      </c>
      <c r="Q15" s="341">
        <f>23004.12*1.07</f>
        <v>24614.4084</v>
      </c>
      <c r="R15" s="339">
        <f>(N15+O15)/(P15+Q15)*100</f>
        <v>101.568706343142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4998.4694294993114</v>
      </c>
      <c r="H16" s="81">
        <f>($P$15/$P$16*E16)+($Q$15/$Q$16*F16)</f>
        <v>4919.3543611270725</v>
      </c>
      <c r="I16" s="82">
        <f>H16-G16</f>
        <v>-79.115068372238966</v>
      </c>
      <c r="J16" s="43"/>
      <c r="K16" s="12"/>
      <c r="L16" s="12"/>
      <c r="M16" s="13"/>
      <c r="N16" s="342">
        <v>9.31</v>
      </c>
      <c r="O16" s="341">
        <v>10.210000000000001</v>
      </c>
      <c r="P16" s="342">
        <v>9.31</v>
      </c>
      <c r="Q16" s="341">
        <v>10.210000000000001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31">
        <v>1.1299999999999999</v>
      </c>
      <c r="F17" s="230">
        <v>1.17</v>
      </c>
      <c r="G17" s="80">
        <f t="shared" ref="G17:G27" si="0">($N$15/$N$16*E17)+($O$15/$O$16*F17)</f>
        <v>5580.8702837406927</v>
      </c>
      <c r="H17" s="53">
        <f t="shared" ref="H17:H27" si="1">($P$15/$P$16*E17)+($Q$15/$Q$16*F17)</f>
        <v>5492.3747743244703</v>
      </c>
      <c r="I17" s="82">
        <f t="shared" ref="I17:I27" si="2">H17-G17</f>
        <v>-88.495509416222376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31">
        <v>0.28000000000000003</v>
      </c>
      <c r="F18" s="230">
        <v>0.27</v>
      </c>
      <c r="G18" s="80">
        <f t="shared" si="0"/>
        <v>1334.7864333213051</v>
      </c>
      <c r="H18" s="53">
        <f t="shared" si="1"/>
        <v>1312.9394932816863</v>
      </c>
      <c r="I18" s="82">
        <f t="shared" si="2"/>
        <v>-21.846940039618858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31">
        <v>0.12</v>
      </c>
      <c r="F19" s="230">
        <v>0.03</v>
      </c>
      <c r="G19" s="80">
        <f t="shared" si="0"/>
        <v>365.06081506410487</v>
      </c>
      <c r="H19" s="53">
        <f t="shared" si="1"/>
        <v>356.04717558721205</v>
      </c>
      <c r="I19" s="82">
        <f t="shared" si="2"/>
        <v>-9.0136394768928199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31">
        <v>1.1399999999999999</v>
      </c>
      <c r="F20" s="230">
        <v>1.33</v>
      </c>
      <c r="G20" s="80">
        <f t="shared" si="0"/>
        <v>5991.6370868896038</v>
      </c>
      <c r="H20" s="53">
        <f t="shared" si="1"/>
        <v>5901.7485381078968</v>
      </c>
      <c r="I20" s="82">
        <f t="shared" si="2"/>
        <v>-89.888548781706959</v>
      </c>
      <c r="J20" s="5"/>
      <c r="N20" s="341"/>
      <c r="O20" s="341"/>
      <c r="P20" s="341"/>
      <c r="Q20" s="341"/>
    </row>
    <row r="21" spans="2:18" ht="145.5" customHeight="1">
      <c r="B21" s="102" t="s">
        <v>282</v>
      </c>
      <c r="C21" s="76" t="s">
        <v>303</v>
      </c>
      <c r="D21" s="77" t="s">
        <v>300</v>
      </c>
      <c r="E21" s="231">
        <v>3.67</v>
      </c>
      <c r="F21" s="230">
        <v>3.33</v>
      </c>
      <c r="G21" s="80">
        <f t="shared" si="0"/>
        <v>16990.697088656998</v>
      </c>
      <c r="H21" s="53">
        <f t="shared" si="1"/>
        <v>16705.197628204169</v>
      </c>
      <c r="I21" s="82">
        <f t="shared" si="2"/>
        <v>-285.49946045282923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31">
        <v>1.94</v>
      </c>
      <c r="F22" s="230">
        <v>2</v>
      </c>
      <c r="G22" s="80">
        <v>9348.66</v>
      </c>
      <c r="H22" s="53">
        <v>9507.6200000000008</v>
      </c>
      <c r="I22" s="82">
        <f t="shared" si="2"/>
        <v>158.96000000000095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231">
        <v>0.22</v>
      </c>
      <c r="F23" s="230">
        <v>0.21</v>
      </c>
      <c r="G23" s="80">
        <f t="shared" si="0"/>
        <v>1043.5860062006141</v>
      </c>
      <c r="H23" s="53">
        <f t="shared" si="1"/>
        <v>1026.4292866829869</v>
      </c>
      <c r="I23" s="82">
        <f t="shared" si="2"/>
        <v>-17.156719517627153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31">
        <v>4.6399999999999997</v>
      </c>
      <c r="F24" s="230">
        <v>4.6399999999999997</v>
      </c>
      <c r="G24" s="80">
        <v>22628.83</v>
      </c>
      <c r="H24" s="53">
        <f t="shared" si="1"/>
        <v>22156.789310299391</v>
      </c>
      <c r="I24" s="82">
        <f t="shared" si="2"/>
        <v>-472.04068970061053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31">
        <v>0.71</v>
      </c>
      <c r="F25" s="230">
        <v>1.44</v>
      </c>
      <c r="G25" s="80">
        <f t="shared" si="0"/>
        <v>5208.7409275883138</v>
      </c>
      <c r="H25" s="53">
        <f t="shared" si="1"/>
        <v>5150.2648164783368</v>
      </c>
      <c r="I25" s="82">
        <f t="shared" si="2"/>
        <v>-58.476111109976955</v>
      </c>
      <c r="J25" s="5"/>
      <c r="K25" s="228"/>
      <c r="L25" s="228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31">
        <v>0.25</v>
      </c>
      <c r="F26" s="230">
        <v>0.83</v>
      </c>
      <c r="G26" s="80">
        <f t="shared" si="0"/>
        <v>2613.9709210342207</v>
      </c>
      <c r="H26" s="53">
        <f t="shared" si="1"/>
        <v>2592.0645032046673</v>
      </c>
      <c r="I26" s="82">
        <f t="shared" si="2"/>
        <v>-21.906417829553448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0.78</v>
      </c>
      <c r="F27" s="106">
        <v>0.55000000000000004</v>
      </c>
      <c r="G27" s="107">
        <f t="shared" si="0"/>
        <v>3230.1810080048308</v>
      </c>
      <c r="H27" s="119">
        <f t="shared" si="1"/>
        <v>3170.1455230015013</v>
      </c>
      <c r="I27" s="109">
        <f t="shared" si="2"/>
        <v>-60.035485003329541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15.889999999999999</v>
      </c>
      <c r="F28" s="113">
        <f>SUM(F16:F27)</f>
        <v>16.850000000000001</v>
      </c>
      <c r="G28" s="114">
        <f>SUM(G16:G27)</f>
        <v>79335.490000000005</v>
      </c>
      <c r="H28" s="115">
        <f>SUM(H16:H27)</f>
        <v>78290.97541029939</v>
      </c>
      <c r="I28" s="116">
        <f>H28-G28</f>
        <v>-1044.514589700615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H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3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79335.490000000005</v>
      </c>
      <c r="E32" s="296"/>
      <c r="F32" s="295">
        <f>22701.98+24656.02+9348.66</f>
        <v>56706.66</v>
      </c>
      <c r="G32" s="296"/>
      <c r="H32" s="295">
        <f>G24</f>
        <v>22628.83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76487.22</v>
      </c>
      <c r="E33" s="296"/>
      <c r="F33" s="295">
        <f>21890.76+23774.97+9001.27</f>
        <v>54667</v>
      </c>
      <c r="G33" s="296"/>
      <c r="H33" s="295">
        <v>21820.22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78290.97541029939</v>
      </c>
      <c r="E34" s="315"/>
      <c r="F34" s="314">
        <f>H16+H17+H18+H19+H20+H21+H22+H23+H25+H26+H27</f>
        <v>56134.186099999999</v>
      </c>
      <c r="G34" s="315"/>
      <c r="H34" s="314">
        <f>H24</f>
        <v>22156.789310299391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-1803.755410299389</v>
      </c>
      <c r="E35" s="318"/>
      <c r="F35" s="319">
        <f>F33-F34</f>
        <v>-1467.186099999999</v>
      </c>
      <c r="G35" s="320"/>
      <c r="H35" s="319">
        <f>H33-H34</f>
        <v>-336.56931029939005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25" t="s">
        <v>267</v>
      </c>
      <c r="C36" s="225"/>
      <c r="D36" s="225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25"/>
      <c r="C37" s="225"/>
      <c r="D37" s="225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25" t="s">
        <v>268</v>
      </c>
      <c r="C38" s="225"/>
      <c r="D38" s="225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25"/>
      <c r="C39" s="225"/>
      <c r="D39" s="225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25" t="s">
        <v>269</v>
      </c>
      <c r="C40" s="225"/>
      <c r="D40" s="225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32"/>
      <c r="J41" s="62"/>
      <c r="N41" s="341"/>
      <c r="O41" s="341"/>
      <c r="P41" s="341"/>
      <c r="Q41" s="341"/>
    </row>
    <row r="42" spans="2:18">
      <c r="B42" s="225" t="s">
        <v>270</v>
      </c>
      <c r="C42" s="225"/>
      <c r="D42" s="225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" customHeight="1">
      <c r="E43" s="285" t="s">
        <v>12</v>
      </c>
      <c r="F43" s="285"/>
    </row>
  </sheetData>
  <mergeCells count="46">
    <mergeCell ref="E43:F43"/>
    <mergeCell ref="E41:F41"/>
    <mergeCell ref="E42:F42"/>
    <mergeCell ref="G42:H42"/>
    <mergeCell ref="E37:F37"/>
    <mergeCell ref="G37:H37"/>
    <mergeCell ref="I37:J37"/>
    <mergeCell ref="E38:F38"/>
    <mergeCell ref="G38:H38"/>
    <mergeCell ref="D32:E32"/>
    <mergeCell ref="F32:G32"/>
    <mergeCell ref="H32:I32"/>
    <mergeCell ref="E36:F36"/>
    <mergeCell ref="G36:H36"/>
    <mergeCell ref="D35:E35"/>
    <mergeCell ref="F35:G35"/>
    <mergeCell ref="H35:I35"/>
    <mergeCell ref="B2:I3"/>
    <mergeCell ref="B30:I30"/>
    <mergeCell ref="D31:E31"/>
    <mergeCell ref="F31:G31"/>
    <mergeCell ref="H31:I31"/>
    <mergeCell ref="D12:E12"/>
    <mergeCell ref="B13:I13"/>
    <mergeCell ref="B14:B15"/>
    <mergeCell ref="C14:C15"/>
    <mergeCell ref="D14:D15"/>
    <mergeCell ref="E14:E15"/>
    <mergeCell ref="F14:F15"/>
    <mergeCell ref="G14:H14"/>
    <mergeCell ref="I14:I15"/>
    <mergeCell ref="I42:J42"/>
    <mergeCell ref="I38:J38"/>
    <mergeCell ref="E39:F39"/>
    <mergeCell ref="G39:H39"/>
    <mergeCell ref="I39:J39"/>
    <mergeCell ref="E40:F40"/>
    <mergeCell ref="G40:H40"/>
    <mergeCell ref="I40:J40"/>
    <mergeCell ref="D33:E33"/>
    <mergeCell ref="F33:G33"/>
    <mergeCell ref="H33:I33"/>
    <mergeCell ref="D34:E34"/>
    <mergeCell ref="F34:G34"/>
    <mergeCell ref="H34:I34"/>
    <mergeCell ref="D5:F5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4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7109375" style="1" customWidth="1"/>
    <col min="3" max="3" width="12.7109375" style="3" customWidth="1"/>
    <col min="4" max="4" width="8.85546875" style="3" customWidth="1"/>
    <col min="5" max="5" width="9.5703125" style="3" customWidth="1"/>
    <col min="6" max="6" width="10.28515625" style="3" customWidth="1"/>
    <col min="7" max="7" width="9.42578125" style="1" customWidth="1"/>
    <col min="8" max="8" width="10.42578125" style="1" customWidth="1"/>
    <col min="9" max="9" width="11.140625" style="3" customWidth="1"/>
    <col min="10" max="10" width="10.7109375" style="1" bestFit="1" customWidth="1"/>
    <col min="11" max="13" width="9.140625" style="1"/>
    <col min="14" max="14" width="13.7109375" style="339" customWidth="1"/>
    <col min="15" max="15" width="12.7109375" style="339" customWidth="1"/>
    <col min="16" max="16" width="11.85546875" style="339" customWidth="1"/>
    <col min="17" max="17" width="12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4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4.25" customHeight="1"/>
    <row r="5" spans="1:18">
      <c r="B5" s="1" t="s">
        <v>0</v>
      </c>
      <c r="D5" s="299" t="s">
        <v>118</v>
      </c>
      <c r="E5" s="299"/>
      <c r="F5" s="299"/>
    </row>
    <row r="6" spans="1:18">
      <c r="B6" s="1" t="s">
        <v>1</v>
      </c>
      <c r="D6" s="23">
        <v>1973</v>
      </c>
      <c r="E6" s="23"/>
      <c r="F6" s="23"/>
    </row>
    <row r="7" spans="1:18" hidden="1" outlineLevel="1">
      <c r="B7" s="1" t="s">
        <v>2</v>
      </c>
      <c r="D7" s="23">
        <v>2</v>
      </c>
      <c r="E7" s="23"/>
      <c r="F7" s="23"/>
    </row>
    <row r="8" spans="1:18" hidden="1" outlineLevel="1">
      <c r="B8" s="1" t="s">
        <v>3</v>
      </c>
      <c r="D8" s="23">
        <v>16</v>
      </c>
      <c r="E8" s="23"/>
      <c r="F8" s="23"/>
    </row>
    <row r="9" spans="1:18" ht="30.75" hidden="1" customHeight="1" outlineLevel="1">
      <c r="B9" s="2" t="s">
        <v>4</v>
      </c>
      <c r="C9" s="7"/>
      <c r="D9" s="23" t="s">
        <v>119</v>
      </c>
      <c r="E9" s="23"/>
      <c r="F9" s="23"/>
    </row>
    <row r="10" spans="1:18" collapsed="1">
      <c r="B10" s="1" t="s">
        <v>5</v>
      </c>
      <c r="D10" s="23" t="s">
        <v>120</v>
      </c>
      <c r="E10" s="23"/>
      <c r="F10" s="23"/>
      <c r="J10" s="10"/>
    </row>
    <row r="11" spans="1:18" hidden="1" outlineLevel="1">
      <c r="B11" s="1" t="s">
        <v>6</v>
      </c>
      <c r="D11" s="23" t="s">
        <v>16</v>
      </c>
      <c r="E11" s="23"/>
      <c r="F11" s="23"/>
    </row>
    <row r="12" spans="1:18" ht="30.75" hidden="1" customHeight="1" outlineLevel="1">
      <c r="B12" s="2" t="s">
        <v>7</v>
      </c>
      <c r="C12" s="7"/>
      <c r="D12" s="323" t="s">
        <v>121</v>
      </c>
      <c r="E12" s="323"/>
      <c r="F12" s="23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28976.41</v>
      </c>
      <c r="O15" s="341">
        <v>32736.77</v>
      </c>
      <c r="P15" s="341">
        <f>30528.33*0.94</f>
        <v>28696.6302</v>
      </c>
      <c r="Q15" s="341">
        <f>34137.34*0.94</f>
        <v>32089.099599999994</v>
      </c>
      <c r="R15" s="339">
        <f>(N15+O15)/(P15+Q15)*100</f>
        <v>101.52576962233002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7475.7296395652065</v>
      </c>
      <c r="H16" s="81">
        <f>($P$15/$P$16*E16)+($Q$15/$Q$16*F16)</f>
        <v>7365.162139951788</v>
      </c>
      <c r="I16" s="82">
        <f>H16-G16</f>
        <v>-110.56749961341848</v>
      </c>
      <c r="J16" s="43"/>
      <c r="K16" s="12"/>
      <c r="L16" s="12"/>
      <c r="M16" s="13"/>
      <c r="N16" s="342">
        <v>7.94</v>
      </c>
      <c r="O16" s="341">
        <v>9.07</v>
      </c>
      <c r="P16" s="342">
        <v>7.94</v>
      </c>
      <c r="Q16" s="341">
        <v>9.07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31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31">
        <v>0.28000000000000003</v>
      </c>
      <c r="F18" s="230">
        <v>0.27</v>
      </c>
      <c r="G18" s="80">
        <f t="shared" si="0"/>
        <v>1996.3616090080232</v>
      </c>
      <c r="H18" s="53">
        <f t="shared" si="1"/>
        <v>1967.2151635946557</v>
      </c>
      <c r="I18" s="82">
        <f t="shared" si="2"/>
        <v>-29.146445413367474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31">
        <v>0.06</v>
      </c>
      <c r="F19" s="230">
        <v>0.05</v>
      </c>
      <c r="G19" s="80">
        <f t="shared" si="0"/>
        <v>399.43262467402985</v>
      </c>
      <c r="H19" s="53">
        <f t="shared" si="1"/>
        <v>393.7480205182751</v>
      </c>
      <c r="I19" s="82">
        <f t="shared" si="2"/>
        <v>-5.6846041557547551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31">
        <v>1.1399999999999999</v>
      </c>
      <c r="F20" s="230">
        <v>1.33</v>
      </c>
      <c r="G20" s="80">
        <f t="shared" si="0"/>
        <v>8960.7714233820916</v>
      </c>
      <c r="H20" s="53">
        <f t="shared" si="1"/>
        <v>8825.6289111261685</v>
      </c>
      <c r="I20" s="82">
        <f t="shared" si="2"/>
        <v>-135.14251225592307</v>
      </c>
      <c r="J20" s="5"/>
      <c r="N20" s="341"/>
      <c r="O20" s="341"/>
      <c r="P20" s="341"/>
      <c r="Q20" s="341"/>
    </row>
    <row r="21" spans="2:18" ht="145.5" customHeight="1">
      <c r="B21" s="102" t="s">
        <v>282</v>
      </c>
      <c r="C21" s="76" t="s">
        <v>303</v>
      </c>
      <c r="D21" s="77" t="s">
        <v>300</v>
      </c>
      <c r="E21" s="231">
        <v>3.67</v>
      </c>
      <c r="F21" s="230">
        <v>3.33</v>
      </c>
      <c r="G21" s="80">
        <f t="shared" si="0"/>
        <v>25412.501259209785</v>
      </c>
      <c r="H21" s="53">
        <f t="shared" si="1"/>
        <v>25045.393803141807</v>
      </c>
      <c r="I21" s="82">
        <f t="shared" si="2"/>
        <v>-367.10745606797718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31">
        <v>1.94</v>
      </c>
      <c r="F22" s="230">
        <v>2</v>
      </c>
      <c r="G22" s="80">
        <v>13897.14</v>
      </c>
      <c r="H22" s="53">
        <v>14108.99</v>
      </c>
      <c r="I22" s="82">
        <f t="shared" si="2"/>
        <v>211.85000000000036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231">
        <v>0.22</v>
      </c>
      <c r="F23" s="230">
        <v>0.21</v>
      </c>
      <c r="G23" s="80">
        <f t="shared" si="0"/>
        <v>1560.8355223714793</v>
      </c>
      <c r="H23" s="53">
        <f t="shared" si="1"/>
        <v>1538.0877609374609</v>
      </c>
      <c r="I23" s="82">
        <f t="shared" si="2"/>
        <v>-22.747761434018457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31">
        <v>5</v>
      </c>
      <c r="F24" s="230">
        <v>5</v>
      </c>
      <c r="G24" s="80">
        <v>36494.21</v>
      </c>
      <c r="H24" s="53">
        <v>21908</v>
      </c>
      <c r="I24" s="82">
        <f t="shared" si="2"/>
        <v>-14586.21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31">
        <v>0.71</v>
      </c>
      <c r="F25" s="230">
        <v>1.44</v>
      </c>
      <c r="G25" s="80">
        <f t="shared" si="0"/>
        <v>7788.5480817959387</v>
      </c>
      <c r="H25" s="53">
        <f t="shared" si="1"/>
        <v>7660.7024942512598</v>
      </c>
      <c r="I25" s="82">
        <f t="shared" si="2"/>
        <v>-127.84558754467889</v>
      </c>
      <c r="J25" s="5"/>
      <c r="K25" s="228"/>
      <c r="L25" s="228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31">
        <v>0.25</v>
      </c>
      <c r="F26" s="230">
        <v>0.83</v>
      </c>
      <c r="G26" s="80">
        <f t="shared" si="0"/>
        <v>3908.1128214780642</v>
      </c>
      <c r="H26" s="53">
        <f t="shared" si="1"/>
        <v>3840.0350084623092</v>
      </c>
      <c r="I26" s="82">
        <f t="shared" si="2"/>
        <v>-68.077813015755055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0.6</v>
      </c>
      <c r="F27" s="106">
        <v>0.56000000000000005</v>
      </c>
      <c r="G27" s="107">
        <f t="shared" si="0"/>
        <v>4210.887018515381</v>
      </c>
      <c r="H27" s="119">
        <f t="shared" si="1"/>
        <v>4149.7564980162679</v>
      </c>
      <c r="I27" s="109">
        <f t="shared" si="2"/>
        <v>-61.130520499113118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14.88</v>
      </c>
      <c r="F28" s="113">
        <f>SUM(F16:F27)</f>
        <v>16.07</v>
      </c>
      <c r="G28" s="114">
        <f>SUM(G16:G27)</f>
        <v>112104.53</v>
      </c>
      <c r="H28" s="115">
        <f>SUM(H16:H27)</f>
        <v>96802.719799999992</v>
      </c>
      <c r="I28" s="116">
        <f>H28-G28</f>
        <v>-15301.810200000007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3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112104.53</v>
      </c>
      <c r="E32" s="296"/>
      <c r="F32" s="295">
        <f>28976.41+32736.77+13897.14</f>
        <v>75610.320000000007</v>
      </c>
      <c r="G32" s="296"/>
      <c r="H32" s="295">
        <f>G24</f>
        <v>36494.21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104821.09</v>
      </c>
      <c r="E33" s="296"/>
      <c r="F33" s="295">
        <f>27114.29+30633+12924.82</f>
        <v>70672.11</v>
      </c>
      <c r="G33" s="296"/>
      <c r="H33" s="295">
        <v>34148.980000000003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96802.719799999992</v>
      </c>
      <c r="E34" s="315"/>
      <c r="F34" s="314">
        <f>H16+H17+H18+H19+H20+H21+H22+H23+H25+H26+H27</f>
        <v>74894.719799999992</v>
      </c>
      <c r="G34" s="315"/>
      <c r="H34" s="314">
        <f>H24</f>
        <v>21908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8018.3702000000121</v>
      </c>
      <c r="E35" s="318"/>
      <c r="F35" s="319">
        <f>F33-F34</f>
        <v>-4222.6097999999911</v>
      </c>
      <c r="G35" s="320"/>
      <c r="H35" s="319">
        <f>H33-H34</f>
        <v>12240.980000000003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25" t="s">
        <v>267</v>
      </c>
      <c r="C36" s="225"/>
      <c r="D36" s="225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25"/>
      <c r="C37" s="225"/>
      <c r="D37" s="225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25" t="s">
        <v>268</v>
      </c>
      <c r="C38" s="225"/>
      <c r="D38" s="225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25"/>
      <c r="C39" s="225"/>
      <c r="D39" s="225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25" t="s">
        <v>269</v>
      </c>
      <c r="C40" s="225"/>
      <c r="D40" s="225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32"/>
      <c r="J41" s="62"/>
      <c r="N41" s="341"/>
      <c r="O41" s="341"/>
      <c r="P41" s="341"/>
      <c r="Q41" s="341"/>
    </row>
    <row r="42" spans="2:18">
      <c r="B42" s="225" t="s">
        <v>270</v>
      </c>
      <c r="C42" s="225"/>
      <c r="D42" s="225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  <c r="G43" s="3"/>
    </row>
  </sheetData>
  <mergeCells count="46">
    <mergeCell ref="E43:F43"/>
    <mergeCell ref="E36:F36"/>
    <mergeCell ref="G36:H36"/>
    <mergeCell ref="E37:F37"/>
    <mergeCell ref="G37:H37"/>
    <mergeCell ref="E40:F40"/>
    <mergeCell ref="G40:H40"/>
    <mergeCell ref="D32:E32"/>
    <mergeCell ref="F32:G32"/>
    <mergeCell ref="H32:I32"/>
    <mergeCell ref="D35:E35"/>
    <mergeCell ref="F35:G35"/>
    <mergeCell ref="D33:E33"/>
    <mergeCell ref="F33:G33"/>
    <mergeCell ref="H33:I33"/>
    <mergeCell ref="D34:E34"/>
    <mergeCell ref="F34:G34"/>
    <mergeCell ref="H34:I34"/>
    <mergeCell ref="H35:I35"/>
    <mergeCell ref="G14:H14"/>
    <mergeCell ref="I14:I15"/>
    <mergeCell ref="B2:I3"/>
    <mergeCell ref="B30:I30"/>
    <mergeCell ref="D31:E31"/>
    <mergeCell ref="F31:G31"/>
    <mergeCell ref="H31:I31"/>
    <mergeCell ref="B14:B15"/>
    <mergeCell ref="C14:C15"/>
    <mergeCell ref="D14:D15"/>
    <mergeCell ref="E14:E15"/>
    <mergeCell ref="F14:F15"/>
    <mergeCell ref="I40:J40"/>
    <mergeCell ref="E41:F41"/>
    <mergeCell ref="E42:F42"/>
    <mergeCell ref="G42:H42"/>
    <mergeCell ref="I42:J42"/>
    <mergeCell ref="I37:J37"/>
    <mergeCell ref="E38:F38"/>
    <mergeCell ref="G38:H38"/>
    <mergeCell ref="I38:J38"/>
    <mergeCell ref="E39:F39"/>
    <mergeCell ref="G39:H39"/>
    <mergeCell ref="I39:J39"/>
    <mergeCell ref="D5:F5"/>
    <mergeCell ref="D12:E12"/>
    <mergeCell ref="B13:I13"/>
  </mergeCells>
  <printOptions horizontalCentered="1"/>
  <pageMargins left="0.19685039370078741" right="0.19685039370078741" top="0.15748031496062992" bottom="0.27559055118110237" header="0.31496062992125984" footer="0.23622047244094491"/>
  <pageSetup paperSize="9" scale="4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28515625" style="1" customWidth="1"/>
    <col min="3" max="3" width="12" style="3" customWidth="1"/>
    <col min="4" max="4" width="8.42578125" style="3" customWidth="1"/>
    <col min="5" max="5" width="10.140625" style="3" customWidth="1"/>
    <col min="6" max="6" width="10.28515625" style="3" customWidth="1"/>
    <col min="7" max="7" width="10.140625" style="3" customWidth="1"/>
    <col min="8" max="8" width="10.42578125" style="1" customWidth="1"/>
    <col min="9" max="9" width="11" style="3" customWidth="1"/>
    <col min="10" max="10" width="10.7109375" style="1" bestFit="1" customWidth="1"/>
    <col min="11" max="11" width="10.5703125" style="1" customWidth="1"/>
    <col min="12" max="12" width="13.85546875" style="1" customWidth="1"/>
    <col min="13" max="13" width="9.140625" style="1"/>
    <col min="14" max="15" width="14.28515625" style="339" customWidth="1"/>
    <col min="16" max="16" width="13.140625" style="339" customWidth="1"/>
    <col min="17" max="17" width="12.710937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3.2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1.25" customHeight="1"/>
    <row r="5" spans="1:18">
      <c r="B5" s="5" t="s">
        <v>0</v>
      </c>
      <c r="C5" s="8"/>
      <c r="D5" s="325" t="s">
        <v>122</v>
      </c>
      <c r="E5" s="325"/>
      <c r="F5" s="18"/>
    </row>
    <row r="6" spans="1:18">
      <c r="B6" s="5" t="s">
        <v>1</v>
      </c>
      <c r="C6" s="8"/>
      <c r="D6" s="24">
        <v>1958</v>
      </c>
      <c r="E6" s="24"/>
      <c r="F6" s="23"/>
    </row>
    <row r="7" spans="1:18">
      <c r="B7" s="5" t="s">
        <v>2</v>
      </c>
      <c r="C7" s="8"/>
      <c r="D7" s="24">
        <v>2</v>
      </c>
      <c r="E7" s="24"/>
      <c r="F7" s="23"/>
    </row>
    <row r="8" spans="1:18" hidden="1" outlineLevel="1">
      <c r="B8" s="5" t="s">
        <v>3</v>
      </c>
      <c r="C8" s="8"/>
      <c r="D8" s="24">
        <v>8</v>
      </c>
      <c r="E8" s="24"/>
      <c r="F8" s="23"/>
    </row>
    <row r="9" spans="1:18" ht="31.5" hidden="1" outlineLevel="1">
      <c r="B9" s="4" t="s">
        <v>4</v>
      </c>
      <c r="C9" s="9"/>
      <c r="D9" s="24" t="s">
        <v>124</v>
      </c>
      <c r="E9" s="24"/>
      <c r="F9" s="23"/>
    </row>
    <row r="10" spans="1:18" collapsed="1">
      <c r="B10" s="5" t="s">
        <v>5</v>
      </c>
      <c r="C10" s="8"/>
      <c r="D10" s="24" t="s">
        <v>123</v>
      </c>
      <c r="E10" s="24"/>
      <c r="F10" s="23"/>
      <c r="J10" s="10"/>
    </row>
    <row r="11" spans="1:18" hidden="1" outlineLevel="1">
      <c r="B11" s="5" t="s">
        <v>6</v>
      </c>
      <c r="C11" s="8"/>
      <c r="D11" s="24" t="s">
        <v>16</v>
      </c>
      <c r="E11" s="24"/>
      <c r="F11" s="23"/>
    </row>
    <row r="12" spans="1:18" ht="31.5" hidden="1" outlineLevel="1">
      <c r="B12" s="4" t="s">
        <v>7</v>
      </c>
      <c r="C12" s="9"/>
      <c r="D12" s="324" t="s">
        <v>125</v>
      </c>
      <c r="E12" s="324"/>
      <c r="F12" s="23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20460.34</v>
      </c>
      <c r="O15" s="341">
        <v>14978.41</v>
      </c>
      <c r="P15" s="341">
        <f>21982.83*0.76</f>
        <v>16706.950800000002</v>
      </c>
      <c r="Q15" s="341">
        <f>24581.61*0.76</f>
        <v>18682.0236</v>
      </c>
      <c r="R15" s="339">
        <f>(N15+O15)/(P15+Q15)*100</f>
        <v>100.14065284694998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0</v>
      </c>
      <c r="F16" s="79">
        <v>0</v>
      </c>
      <c r="G16" s="80">
        <f>($N$15/$N$16*E16)+($O$15/$O$16*F16)</f>
        <v>0</v>
      </c>
      <c r="H16" s="81">
        <f>($P$15/$P$16*E16)+($Q$15/$Q$16*F16)</f>
        <v>0</v>
      </c>
      <c r="I16" s="82">
        <f>H16-G16</f>
        <v>0</v>
      </c>
      <c r="J16" s="43"/>
      <c r="K16" s="12"/>
      <c r="L16" s="12"/>
      <c r="M16" s="13"/>
      <c r="N16" s="342">
        <v>7.39</v>
      </c>
      <c r="O16" s="341">
        <v>5.51</v>
      </c>
      <c r="P16" s="342">
        <v>7.39</v>
      </c>
      <c r="Q16" s="341">
        <v>5.51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31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31">
        <v>0.28000000000000003</v>
      </c>
      <c r="F18" s="230">
        <v>0.27</v>
      </c>
      <c r="G18" s="80">
        <f t="shared" si="0"/>
        <v>1509.1918992163346</v>
      </c>
      <c r="H18" s="53">
        <f t="shared" si="1"/>
        <v>1548.4633765479916</v>
      </c>
      <c r="I18" s="82">
        <f t="shared" si="2"/>
        <v>39.271477331657024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31">
        <v>0.18</v>
      </c>
      <c r="F19" s="230">
        <v>0.02</v>
      </c>
      <c r="G19" s="80">
        <f t="shared" si="0"/>
        <v>552.72549626831767</v>
      </c>
      <c r="H19" s="53">
        <f t="shared" si="1"/>
        <v>474.74654009612249</v>
      </c>
      <c r="I19" s="82">
        <f t="shared" si="2"/>
        <v>-77.978956172195183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31">
        <v>1.1399999999999999</v>
      </c>
      <c r="F20" s="230">
        <v>1.33</v>
      </c>
      <c r="G20" s="80">
        <f t="shared" si="0"/>
        <v>6771.7418211935983</v>
      </c>
      <c r="H20" s="53">
        <f t="shared" si="1"/>
        <v>7086.7102527926845</v>
      </c>
      <c r="I20" s="82">
        <f t="shared" si="2"/>
        <v>314.96843159908622</v>
      </c>
      <c r="J20" s="5"/>
      <c r="N20" s="341"/>
      <c r="O20" s="341"/>
      <c r="P20" s="341"/>
      <c r="Q20" s="341"/>
    </row>
    <row r="21" spans="2:18" ht="145.5" customHeight="1">
      <c r="B21" s="102" t="s">
        <v>282</v>
      </c>
      <c r="C21" s="76" t="s">
        <v>303</v>
      </c>
      <c r="D21" s="77" t="s">
        <v>300</v>
      </c>
      <c r="E21" s="231">
        <v>3.67</v>
      </c>
      <c r="F21" s="230">
        <f>3.33-1.5</f>
        <v>1.83</v>
      </c>
      <c r="G21" s="80">
        <f t="shared" si="0"/>
        <v>15135.634329390039</v>
      </c>
      <c r="H21" s="53">
        <f t="shared" si="1"/>
        <v>14501.694042611172</v>
      </c>
      <c r="I21" s="82">
        <f t="shared" si="2"/>
        <v>-633.94028677886672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31">
        <v>1.94</v>
      </c>
      <c r="F22" s="230">
        <v>2</v>
      </c>
      <c r="G22" s="80">
        <v>10159.6</v>
      </c>
      <c r="H22" s="53">
        <v>10007.1</v>
      </c>
      <c r="I22" s="82">
        <f t="shared" si="2"/>
        <v>-152.5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231">
        <v>0.22</v>
      </c>
      <c r="F23" s="230">
        <v>0.21</v>
      </c>
      <c r="G23" s="80">
        <f t="shared" si="0"/>
        <v>1179.9684821299202</v>
      </c>
      <c r="H23" s="53">
        <f t="shared" si="1"/>
        <v>1209.3842953665253</v>
      </c>
      <c r="I23" s="82">
        <f t="shared" si="2"/>
        <v>29.415813236605118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31">
        <v>2.5</v>
      </c>
      <c r="F24" s="230">
        <v>3</v>
      </c>
      <c r="G24" s="80">
        <v>15227.59</v>
      </c>
      <c r="H24" s="53">
        <v>799</v>
      </c>
      <c r="I24" s="82">
        <f t="shared" si="2"/>
        <v>-14428.59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31">
        <v>0.71</v>
      </c>
      <c r="F25" s="230">
        <f>1.44-0.45</f>
        <v>0.99</v>
      </c>
      <c r="G25" s="80">
        <f t="shared" si="0"/>
        <v>4656.9637567566906</v>
      </c>
      <c r="H25" s="53">
        <f t="shared" si="1"/>
        <v>4961.7945250151652</v>
      </c>
      <c r="I25" s="82">
        <f t="shared" si="2"/>
        <v>304.83076825847456</v>
      </c>
      <c r="J25" s="5"/>
      <c r="K25" s="228"/>
      <c r="L25" s="228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31">
        <v>0.25</v>
      </c>
      <c r="F26" s="230">
        <v>0.83</v>
      </c>
      <c r="G26" s="80">
        <f t="shared" si="0"/>
        <v>2948.4389747021651</v>
      </c>
      <c r="H26" s="53">
        <f t="shared" si="1"/>
        <v>3379.3583049227755</v>
      </c>
      <c r="I26" s="82">
        <f t="shared" si="2"/>
        <v>430.91933022061039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0.94</v>
      </c>
      <c r="F27" s="106">
        <v>0.03</v>
      </c>
      <c r="G27" s="107">
        <f t="shared" si="0"/>
        <v>2684.0852403429367</v>
      </c>
      <c r="H27" s="119">
        <f t="shared" si="1"/>
        <v>2226.8230626475665</v>
      </c>
      <c r="I27" s="109">
        <f t="shared" si="2"/>
        <v>-457.26217769537016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11.83</v>
      </c>
      <c r="F28" s="113">
        <f>SUM(F16:F27)</f>
        <v>10.51</v>
      </c>
      <c r="G28" s="114">
        <f>SUM(G16:G27)</f>
        <v>60825.94</v>
      </c>
      <c r="H28" s="115">
        <f>SUM(H16:H27)</f>
        <v>46195.074399999998</v>
      </c>
      <c r="I28" s="116">
        <f>H28-G28</f>
        <v>-14630.865600000005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H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3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60673.440000000002</v>
      </c>
      <c r="E32" s="296"/>
      <c r="F32" s="295">
        <f>20460.34+14978.41+10007.1</f>
        <v>45445.85</v>
      </c>
      <c r="G32" s="296"/>
      <c r="H32" s="295">
        <f>G24</f>
        <v>15227.59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52553.39</v>
      </c>
      <c r="E33" s="296"/>
      <c r="F33" s="295">
        <f>17849.89+13067.38+8351.36</f>
        <v>39268.629999999997</v>
      </c>
      <c r="G33" s="296"/>
      <c r="H33" s="295">
        <v>13284.76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46195.074399999998</v>
      </c>
      <c r="E34" s="315"/>
      <c r="F34" s="314">
        <f>H16+H17+H18+H19+H20+H21+H22+H23+H25+H26+H27</f>
        <v>45396.074399999998</v>
      </c>
      <c r="G34" s="315"/>
      <c r="H34" s="314">
        <f>H24</f>
        <v>799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6358.3155999999999</v>
      </c>
      <c r="E35" s="318"/>
      <c r="F35" s="319">
        <f>F33-F34</f>
        <v>-6127.4444000000003</v>
      </c>
      <c r="G35" s="320"/>
      <c r="H35" s="319">
        <f>H33-H34</f>
        <v>12485.76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25" t="s">
        <v>267</v>
      </c>
      <c r="C36" s="225"/>
      <c r="D36" s="225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25"/>
      <c r="C37" s="225"/>
      <c r="D37" s="225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25" t="s">
        <v>268</v>
      </c>
      <c r="C38" s="225"/>
      <c r="D38" s="225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25"/>
      <c r="C39" s="225"/>
      <c r="D39" s="225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25" t="s">
        <v>269</v>
      </c>
      <c r="C40" s="225"/>
      <c r="D40" s="225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32"/>
      <c r="J41" s="62"/>
      <c r="N41" s="341"/>
      <c r="O41" s="341"/>
      <c r="P41" s="341"/>
      <c r="Q41" s="341"/>
    </row>
    <row r="42" spans="2:18">
      <c r="B42" s="225" t="s">
        <v>270</v>
      </c>
      <c r="C42" s="225"/>
      <c r="D42" s="225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  <row r="44" spans="2:18">
      <c r="G44" s="1"/>
    </row>
  </sheetData>
  <mergeCells count="46">
    <mergeCell ref="E43:F4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E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H35:I35"/>
    <mergeCell ref="E36:F36"/>
    <mergeCell ref="G36:H36"/>
    <mergeCell ref="E37:F37"/>
    <mergeCell ref="G37:H37"/>
    <mergeCell ref="I37:J37"/>
    <mergeCell ref="D35:E35"/>
    <mergeCell ref="F35:G35"/>
    <mergeCell ref="I42:J42"/>
    <mergeCell ref="I38:J38"/>
    <mergeCell ref="E39:F39"/>
    <mergeCell ref="G39:H39"/>
    <mergeCell ref="I39:J39"/>
    <mergeCell ref="E40:F40"/>
    <mergeCell ref="G40:H40"/>
    <mergeCell ref="I40:J40"/>
    <mergeCell ref="E38:F38"/>
    <mergeCell ref="G38:H38"/>
    <mergeCell ref="E41:F41"/>
    <mergeCell ref="E42:F42"/>
    <mergeCell ref="G42:H42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4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7109375" style="1" customWidth="1"/>
    <col min="3" max="3" width="12" style="3" customWidth="1"/>
    <col min="4" max="4" width="8.42578125" style="3" customWidth="1"/>
    <col min="5" max="5" width="10.85546875" style="3" customWidth="1"/>
    <col min="6" max="6" width="9.42578125" style="3" customWidth="1"/>
    <col min="7" max="7" width="10.140625" style="1" customWidth="1"/>
    <col min="8" max="8" width="10.42578125" style="1" customWidth="1"/>
    <col min="9" max="9" width="11.85546875" style="3" customWidth="1"/>
    <col min="10" max="10" width="10.7109375" style="1" bestFit="1" customWidth="1"/>
    <col min="11" max="13" width="9.140625" style="1"/>
    <col min="14" max="14" width="11.5703125" style="339" customWidth="1"/>
    <col min="15" max="15" width="12.42578125" style="339" customWidth="1"/>
    <col min="16" max="16" width="12.28515625" style="339" customWidth="1"/>
    <col min="17" max="17" width="13.57031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3.2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5.75" customHeight="1"/>
    <row r="5" spans="1:18">
      <c r="B5" s="1" t="s">
        <v>0</v>
      </c>
      <c r="D5" s="299" t="s">
        <v>126</v>
      </c>
      <c r="E5" s="299"/>
      <c r="F5" s="299"/>
    </row>
    <row r="6" spans="1:18">
      <c r="B6" s="1" t="s">
        <v>1</v>
      </c>
      <c r="D6" s="23">
        <v>1959</v>
      </c>
      <c r="E6" s="23"/>
      <c r="F6" s="23"/>
    </row>
    <row r="7" spans="1:18" hidden="1" outlineLevel="1">
      <c r="B7" s="1" t="s">
        <v>2</v>
      </c>
      <c r="D7" s="23">
        <v>2</v>
      </c>
      <c r="E7" s="23"/>
      <c r="F7" s="23"/>
    </row>
    <row r="8" spans="1:18" hidden="1" outlineLevel="1">
      <c r="B8" s="1" t="s">
        <v>3</v>
      </c>
      <c r="D8" s="23">
        <v>16</v>
      </c>
      <c r="E8" s="23"/>
      <c r="F8" s="23"/>
    </row>
    <row r="9" spans="1:18" ht="30.75" hidden="1" customHeight="1" outlineLevel="1">
      <c r="B9" s="2" t="s">
        <v>4</v>
      </c>
      <c r="C9" s="7"/>
      <c r="D9" s="23" t="s">
        <v>127</v>
      </c>
      <c r="E9" s="23"/>
      <c r="F9" s="23"/>
    </row>
    <row r="10" spans="1:18" collapsed="1">
      <c r="B10" s="1" t="s">
        <v>5</v>
      </c>
      <c r="D10" s="38" t="s">
        <v>258</v>
      </c>
      <c r="E10" s="23"/>
      <c r="F10" s="23"/>
      <c r="J10" s="10"/>
    </row>
    <row r="11" spans="1:18" hidden="1" outlineLevel="1">
      <c r="B11" s="1" t="s">
        <v>6</v>
      </c>
      <c r="D11" s="23" t="s">
        <v>16</v>
      </c>
      <c r="E11" s="23"/>
      <c r="F11" s="23"/>
    </row>
    <row r="12" spans="1:18" ht="30.75" hidden="1" customHeight="1" outlineLevel="1">
      <c r="B12" s="2" t="s">
        <v>7</v>
      </c>
      <c r="C12" s="7"/>
      <c r="D12" s="323" t="s">
        <v>128</v>
      </c>
      <c r="E12" s="323"/>
      <c r="F12" s="23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22035.599999999999</v>
      </c>
      <c r="O15" s="341">
        <v>32589.06</v>
      </c>
      <c r="P15" s="341">
        <f>31659.94*0.8</f>
        <v>25327.952000000001</v>
      </c>
      <c r="Q15" s="341">
        <f>35402.74*0.8</f>
        <v>28322.191999999999</v>
      </c>
      <c r="R15" s="339">
        <f>(N15+O15)/(P15+Q15)*100</f>
        <v>101.81642755702576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6707.3068699705727</v>
      </c>
      <c r="H16" s="81">
        <f>($P$15/$P$16*E16)+($Q$15/$Q$16*F16)</f>
        <v>6635.2256259219712</v>
      </c>
      <c r="I16" s="82">
        <f>H16-G16</f>
        <v>-72.081244048601548</v>
      </c>
      <c r="J16" s="43"/>
      <c r="K16" s="12"/>
      <c r="L16" s="12"/>
      <c r="M16" s="13"/>
      <c r="N16" s="342">
        <v>7.74</v>
      </c>
      <c r="O16" s="341">
        <v>8.93</v>
      </c>
      <c r="P16" s="342">
        <v>7.74</v>
      </c>
      <c r="Q16" s="341">
        <v>8.93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4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42">
        <v>0.28000000000000003</v>
      </c>
      <c r="F18" s="230">
        <v>0.27</v>
      </c>
      <c r="G18" s="80">
        <f t="shared" si="0"/>
        <v>1782.4890090887784</v>
      </c>
      <c r="H18" s="53">
        <f t="shared" si="1"/>
        <v>1772.5827354068829</v>
      </c>
      <c r="I18" s="82">
        <f t="shared" si="2"/>
        <v>-9.9062736818955273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42">
        <v>0.04</v>
      </c>
      <c r="F19" s="230">
        <v>0.03</v>
      </c>
      <c r="G19" s="80">
        <f t="shared" si="0"/>
        <v>223.360794291518</v>
      </c>
      <c r="H19" s="53">
        <f t="shared" si="1"/>
        <v>226.04115033088243</v>
      </c>
      <c r="I19" s="82">
        <f t="shared" si="2"/>
        <v>2.6803560393644261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42">
        <v>1.1399999999999999</v>
      </c>
      <c r="F20" s="230">
        <v>1.33</v>
      </c>
      <c r="G20" s="80">
        <f t="shared" si="0"/>
        <v>8099.2432756061353</v>
      </c>
      <c r="H20" s="53">
        <f t="shared" si="1"/>
        <v>7948.672358898235</v>
      </c>
      <c r="I20" s="82">
        <f t="shared" si="2"/>
        <v>-150.57091670790032</v>
      </c>
      <c r="J20" s="5"/>
      <c r="N20" s="341"/>
      <c r="O20" s="341"/>
      <c r="P20" s="341"/>
      <c r="Q20" s="341"/>
    </row>
    <row r="21" spans="2:18" ht="145.5" customHeight="1">
      <c r="B21" s="102" t="s">
        <v>282</v>
      </c>
      <c r="C21" s="76" t="s">
        <v>303</v>
      </c>
      <c r="D21" s="77" t="s">
        <v>300</v>
      </c>
      <c r="E21" s="242">
        <v>3.67</v>
      </c>
      <c r="F21" s="230">
        <v>3.33</v>
      </c>
      <c r="G21" s="80">
        <f t="shared" si="0"/>
        <v>22600.876073335243</v>
      </c>
      <c r="H21" s="53">
        <f t="shared" si="1"/>
        <v>22570.861867606505</v>
      </c>
      <c r="I21" s="82">
        <f t="shared" si="2"/>
        <v>-30.014205728737579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42">
        <v>1.94</v>
      </c>
      <c r="F22" s="230">
        <v>2</v>
      </c>
      <c r="G22" s="80">
        <v>13746.09</v>
      </c>
      <c r="H22" s="53">
        <v>14631.98</v>
      </c>
      <c r="I22" s="82">
        <f t="shared" si="2"/>
        <v>885.88999999999942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242">
        <v>0.22</v>
      </c>
      <c r="F23" s="230">
        <v>0.21</v>
      </c>
      <c r="G23" s="80">
        <f t="shared" si="0"/>
        <v>1392.7069553894632</v>
      </c>
      <c r="H23" s="53">
        <f t="shared" si="1"/>
        <v>1385.9473391378824</v>
      </c>
      <c r="I23" s="82">
        <f t="shared" si="2"/>
        <v>-6.7596162515808373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42">
        <v>0.73</v>
      </c>
      <c r="F24" s="230">
        <v>2.5</v>
      </c>
      <c r="G24" s="80">
        <v>18455.28</v>
      </c>
      <c r="H24" s="53">
        <v>0</v>
      </c>
      <c r="I24" s="82">
        <f t="shared" si="2"/>
        <v>-18455.28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42">
        <v>0.71</v>
      </c>
      <c r="F25" s="230">
        <v>1.44</v>
      </c>
      <c r="G25" s="80">
        <f t="shared" si="0"/>
        <v>7276.4762655277482</v>
      </c>
      <c r="H25" s="53">
        <f t="shared" si="1"/>
        <v>6890.4375001200833</v>
      </c>
      <c r="I25" s="82">
        <f t="shared" si="2"/>
        <v>-386.03876540766487</v>
      </c>
      <c r="J25" s="5"/>
      <c r="K25" s="240"/>
      <c r="L25" s="24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42">
        <v>0.25</v>
      </c>
      <c r="F26" s="230">
        <v>0.83</v>
      </c>
      <c r="G26" s="80">
        <f t="shared" si="0"/>
        <v>3740.7385645459517</v>
      </c>
      <c r="H26" s="53">
        <f t="shared" si="1"/>
        <v>3450.4960876643195</v>
      </c>
      <c r="I26" s="82">
        <f t="shared" si="2"/>
        <v>-290.24247688163223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0.42</v>
      </c>
      <c r="F27" s="106">
        <v>0.44</v>
      </c>
      <c r="G27" s="107">
        <f t="shared" si="0"/>
        <v>2801.4621922445895</v>
      </c>
      <c r="H27" s="119">
        <f t="shared" si="1"/>
        <v>2769.8793349132357</v>
      </c>
      <c r="I27" s="109">
        <f t="shared" si="2"/>
        <v>-31.582857331353807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10.410000000000002</v>
      </c>
      <c r="F28" s="113">
        <f>SUM(F16:F27)</f>
        <v>13.43</v>
      </c>
      <c r="G28" s="114">
        <f>SUM(G16:G27)</f>
        <v>86826.03</v>
      </c>
      <c r="H28" s="115">
        <f>SUM(H16:H27)</f>
        <v>68282.123999999996</v>
      </c>
      <c r="I28" s="116">
        <f>H28-G28</f>
        <v>-18543.906000000003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4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86826.03</v>
      </c>
      <c r="E32" s="296"/>
      <c r="F32" s="295">
        <f>22035.6+32589.06+13746.09</f>
        <v>68370.75</v>
      </c>
      <c r="G32" s="296"/>
      <c r="H32" s="295">
        <f>G24</f>
        <v>18455.28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83329.11</v>
      </c>
      <c r="E33" s="296"/>
      <c r="F33" s="295">
        <f>21459.73+31737.39+12159.02</f>
        <v>65356.14</v>
      </c>
      <c r="G33" s="296"/>
      <c r="H33" s="295">
        <v>17972.97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68282.123999999996</v>
      </c>
      <c r="E34" s="315"/>
      <c r="F34" s="314">
        <f>H16+H17+H18+H19+H20+H21+H22+H23+H25+H26+H27</f>
        <v>68282.123999999996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15046.986000000004</v>
      </c>
      <c r="E35" s="318"/>
      <c r="F35" s="319">
        <f>F33-F34</f>
        <v>-2925.9839999999967</v>
      </c>
      <c r="G35" s="320"/>
      <c r="H35" s="319">
        <f>H33-H34</f>
        <v>17972.97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39" t="s">
        <v>267</v>
      </c>
      <c r="C36" s="239"/>
      <c r="D36" s="23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39"/>
      <c r="C37" s="239"/>
      <c r="D37" s="23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39" t="s">
        <v>268</v>
      </c>
      <c r="C38" s="239"/>
      <c r="D38" s="23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39"/>
      <c r="C39" s="239"/>
      <c r="D39" s="23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39" t="s">
        <v>269</v>
      </c>
      <c r="C40" s="239"/>
      <c r="D40" s="23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41"/>
      <c r="J41" s="62"/>
      <c r="N41" s="341"/>
      <c r="O41" s="341"/>
      <c r="P41" s="341"/>
      <c r="Q41" s="341"/>
    </row>
    <row r="42" spans="2:18">
      <c r="B42" s="239" t="s">
        <v>270</v>
      </c>
      <c r="C42" s="239"/>
      <c r="D42" s="23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  <c r="G43" s="3"/>
    </row>
  </sheetData>
  <mergeCells count="46">
    <mergeCell ref="E43:F43"/>
    <mergeCell ref="E42:F42"/>
    <mergeCell ref="G42:H42"/>
    <mergeCell ref="I42:J42"/>
    <mergeCell ref="I38:J38"/>
    <mergeCell ref="E39:F39"/>
    <mergeCell ref="G39:H39"/>
    <mergeCell ref="I39:J39"/>
    <mergeCell ref="E40:F40"/>
    <mergeCell ref="G40:H40"/>
    <mergeCell ref="I40:J40"/>
    <mergeCell ref="E38:F38"/>
    <mergeCell ref="G38:H38"/>
    <mergeCell ref="E41:F41"/>
    <mergeCell ref="E36:F36"/>
    <mergeCell ref="G36:H36"/>
    <mergeCell ref="E37:F37"/>
    <mergeCell ref="G37:H37"/>
    <mergeCell ref="I37:J37"/>
    <mergeCell ref="D33:E33"/>
    <mergeCell ref="F33:G33"/>
    <mergeCell ref="H33:I33"/>
    <mergeCell ref="H34:I34"/>
    <mergeCell ref="H35:I35"/>
    <mergeCell ref="D35:E35"/>
    <mergeCell ref="D34:E34"/>
    <mergeCell ref="F34:G34"/>
    <mergeCell ref="F35:G35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28515625" style="1" customWidth="1"/>
    <col min="3" max="3" width="11.42578125" style="3" customWidth="1"/>
    <col min="4" max="4" width="9" style="3" customWidth="1"/>
    <col min="5" max="5" width="10.5703125" style="3" customWidth="1"/>
    <col min="6" max="6" width="10.28515625" style="3" customWidth="1"/>
    <col min="7" max="7" width="9.42578125" style="1" customWidth="1"/>
    <col min="8" max="8" width="10.42578125" style="1" customWidth="1"/>
    <col min="9" max="9" width="11.42578125" style="1" customWidth="1"/>
    <col min="10" max="10" width="10.7109375" style="1" bestFit="1" customWidth="1"/>
    <col min="11" max="13" width="9.140625" style="1"/>
    <col min="14" max="15" width="12.7109375" style="339" customWidth="1"/>
    <col min="16" max="16" width="14" style="339" customWidth="1"/>
    <col min="17" max="17" width="18.140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.7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5" customHeight="1"/>
    <row r="5" spans="1:18">
      <c r="B5" s="1" t="s">
        <v>0</v>
      </c>
      <c r="D5" s="299" t="s">
        <v>129</v>
      </c>
      <c r="E5" s="299"/>
      <c r="F5" s="299"/>
    </row>
    <row r="6" spans="1:18">
      <c r="B6" s="1" t="s">
        <v>1</v>
      </c>
      <c r="D6" s="23">
        <v>1960</v>
      </c>
      <c r="E6" s="23"/>
      <c r="F6" s="23"/>
    </row>
    <row r="7" spans="1:18" hidden="1" outlineLevel="1">
      <c r="B7" s="1" t="s">
        <v>2</v>
      </c>
      <c r="D7" s="23">
        <v>2</v>
      </c>
      <c r="E7" s="23"/>
      <c r="F7" s="23"/>
    </row>
    <row r="8" spans="1:18" hidden="1" outlineLevel="1">
      <c r="B8" s="1" t="s">
        <v>3</v>
      </c>
      <c r="D8" s="23">
        <v>16</v>
      </c>
      <c r="E8" s="23"/>
      <c r="F8" s="23"/>
    </row>
    <row r="9" spans="1:18" ht="30.75" hidden="1" customHeight="1" outlineLevel="1">
      <c r="B9" s="2" t="s">
        <v>4</v>
      </c>
      <c r="C9" s="7"/>
      <c r="D9" s="23" t="s">
        <v>130</v>
      </c>
      <c r="E9" s="23"/>
      <c r="F9" s="23"/>
    </row>
    <row r="10" spans="1:18" collapsed="1">
      <c r="B10" s="1" t="s">
        <v>5</v>
      </c>
      <c r="D10" s="23" t="s">
        <v>131</v>
      </c>
      <c r="E10" s="23"/>
      <c r="F10" s="23"/>
      <c r="J10" s="10"/>
    </row>
    <row r="11" spans="1:18" hidden="1" outlineLevel="1">
      <c r="B11" s="1" t="s">
        <v>6</v>
      </c>
      <c r="D11" s="23" t="s">
        <v>16</v>
      </c>
      <c r="E11" s="23"/>
      <c r="F11" s="23"/>
    </row>
    <row r="12" spans="1:18" ht="30.75" hidden="1" customHeight="1" outlineLevel="1">
      <c r="B12" s="2" t="s">
        <v>7</v>
      </c>
      <c r="C12" s="7"/>
      <c r="D12" s="323" t="s">
        <v>132</v>
      </c>
      <c r="E12" s="323"/>
      <c r="F12" s="23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30692.58</v>
      </c>
      <c r="O15" s="341">
        <v>34610.78</v>
      </c>
      <c r="P15" s="341">
        <f>31568.6*0.97</f>
        <v>30621.541999999998</v>
      </c>
      <c r="Q15" s="341">
        <f>35300.6*0.97</f>
        <v>34241.581999999995</v>
      </c>
      <c r="R15" s="339">
        <f>(N15+O15)/(P15+Q15)*100</f>
        <v>100.67871538225634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6622.5290165537117</v>
      </c>
      <c r="H16" s="81">
        <f>($P$15/$P$16*E16)+($Q$15/$Q$16*F16)</f>
        <v>6584.292044338441</v>
      </c>
      <c r="I16" s="82">
        <f>H16-G16</f>
        <v>-38.236972215270725</v>
      </c>
      <c r="J16" s="43"/>
      <c r="K16" s="12"/>
      <c r="L16" s="12"/>
      <c r="M16" s="13"/>
      <c r="N16" s="342">
        <v>7.99</v>
      </c>
      <c r="O16" s="341">
        <v>13.25</v>
      </c>
      <c r="P16" s="342">
        <v>7.99</v>
      </c>
      <c r="Q16" s="341">
        <v>13.25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4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42">
        <v>0.28000000000000003</v>
      </c>
      <c r="F18" s="230">
        <v>0.27</v>
      </c>
      <c r="G18" s="80">
        <f t="shared" si="0"/>
        <v>1780.8610526743337</v>
      </c>
      <c r="H18" s="53">
        <f t="shared" si="1"/>
        <v>1770.8483308720806</v>
      </c>
      <c r="I18" s="82">
        <f t="shared" si="2"/>
        <v>-10.012721802253054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42">
        <v>0.09</v>
      </c>
      <c r="F19" s="230">
        <v>0.04</v>
      </c>
      <c r="G19" s="80">
        <f t="shared" si="0"/>
        <v>450.20905318440504</v>
      </c>
      <c r="H19" s="53">
        <f t="shared" si="1"/>
        <v>448.29431546225226</v>
      </c>
      <c r="I19" s="82">
        <f t="shared" si="2"/>
        <v>-1.914737722152779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42">
        <v>1.1399999999999999</v>
      </c>
      <c r="F20" s="230">
        <v>1.33</v>
      </c>
      <c r="G20" s="80">
        <f t="shared" si="0"/>
        <v>7853.3052799584384</v>
      </c>
      <c r="H20" s="53">
        <f t="shared" si="1"/>
        <v>7806.1105754778364</v>
      </c>
      <c r="I20" s="82">
        <f t="shared" si="2"/>
        <v>-47.194704480602013</v>
      </c>
      <c r="J20" s="5"/>
      <c r="N20" s="341"/>
      <c r="O20" s="341"/>
      <c r="P20" s="341"/>
      <c r="Q20" s="341"/>
    </row>
    <row r="21" spans="2:18" ht="145.5" customHeight="1">
      <c r="B21" s="102" t="s">
        <v>282</v>
      </c>
      <c r="C21" s="76" t="s">
        <v>303</v>
      </c>
      <c r="D21" s="77" t="s">
        <v>300</v>
      </c>
      <c r="E21" s="242">
        <v>3.67</v>
      </c>
      <c r="F21" s="230">
        <v>3.33</v>
      </c>
      <c r="G21" s="80">
        <f t="shared" si="0"/>
        <v>22796.250730167427</v>
      </c>
      <c r="H21" s="53">
        <f t="shared" si="1"/>
        <v>22670.834140830753</v>
      </c>
      <c r="I21" s="82">
        <f t="shared" si="2"/>
        <v>-125.4165893366735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42">
        <v>1.94</v>
      </c>
      <c r="F22" s="230">
        <v>2</v>
      </c>
      <c r="G22" s="80">
        <v>14370.78</v>
      </c>
      <c r="H22" s="53">
        <v>14589.77</v>
      </c>
      <c r="I22" s="82">
        <f t="shared" si="2"/>
        <v>218.98999999999978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242">
        <v>0.22</v>
      </c>
      <c r="F23" s="230">
        <v>0.21</v>
      </c>
      <c r="G23" s="80">
        <f t="shared" si="0"/>
        <v>1393.6505392306422</v>
      </c>
      <c r="H23" s="53">
        <f t="shared" si="1"/>
        <v>1385.8431092431574</v>
      </c>
      <c r="I23" s="82">
        <f t="shared" si="2"/>
        <v>-7.8074299874847384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42">
        <v>4.8499999999999996</v>
      </c>
      <c r="F24" s="230">
        <v>0.71</v>
      </c>
      <c r="G24" s="80">
        <v>37261.33</v>
      </c>
      <c r="H24" s="53">
        <v>12304</v>
      </c>
      <c r="I24" s="82">
        <f t="shared" si="2"/>
        <v>-24957.33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42">
        <v>0.71</v>
      </c>
      <c r="F25" s="230">
        <v>1.44</v>
      </c>
      <c r="G25" s="80">
        <f t="shared" si="0"/>
        <v>6488.8491436748764</v>
      </c>
      <c r="H25" s="53">
        <f t="shared" si="1"/>
        <v>6442.4124705334489</v>
      </c>
      <c r="I25" s="82">
        <f t="shared" si="2"/>
        <v>-46.436673141427491</v>
      </c>
      <c r="J25" s="5"/>
      <c r="K25" s="240"/>
      <c r="L25" s="24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42">
        <v>0.25</v>
      </c>
      <c r="F26" s="230">
        <v>0.83</v>
      </c>
      <c r="G26" s="80">
        <f t="shared" si="0"/>
        <v>3128.4150563298463</v>
      </c>
      <c r="H26" s="53">
        <f t="shared" si="1"/>
        <v>3103.0652204349772</v>
      </c>
      <c r="I26" s="82">
        <f t="shared" si="2"/>
        <v>-25.349835894869102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0.62</v>
      </c>
      <c r="F27" s="106">
        <v>4.75</v>
      </c>
      <c r="G27" s="107">
        <f t="shared" si="0"/>
        <v>14789.290128226321</v>
      </c>
      <c r="H27" s="119">
        <f t="shared" si="1"/>
        <v>14651.423792807043</v>
      </c>
      <c r="I27" s="109">
        <f t="shared" si="2"/>
        <v>-137.86633541927768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14.78</v>
      </c>
      <c r="F28" s="113">
        <f>SUM(F16:F27)</f>
        <v>15.96</v>
      </c>
      <c r="G28" s="114">
        <f>SUM(G16:G27)</f>
        <v>116935.47</v>
      </c>
      <c r="H28" s="115">
        <f>SUM(H16:H27)</f>
        <v>91756.894</v>
      </c>
      <c r="I28" s="116">
        <f>H28-G28</f>
        <v>-25178.576000000001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4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116935.47</v>
      </c>
      <c r="E32" s="296"/>
      <c r="F32" s="295">
        <f>30692.58+34610.78+14370.78</f>
        <v>79674.14</v>
      </c>
      <c r="G32" s="296"/>
      <c r="H32" s="295">
        <f>G24</f>
        <v>37261.33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97745.34</v>
      </c>
      <c r="E33" s="296"/>
      <c r="F33" s="295">
        <f>25047.39+28244.93+14045.05</f>
        <v>67337.37</v>
      </c>
      <c r="G33" s="296"/>
      <c r="H33" s="295">
        <v>30407.97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91756.893999999986</v>
      </c>
      <c r="E34" s="315"/>
      <c r="F34" s="314">
        <f>H16+H17+H18+H19+H20+H21+H22+H23+H25+H26+H27</f>
        <v>79452.893999999986</v>
      </c>
      <c r="G34" s="315"/>
      <c r="H34" s="314">
        <f>H24</f>
        <v>12304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5988.4460000000108</v>
      </c>
      <c r="E35" s="318"/>
      <c r="F35" s="319">
        <f>F33-F34</f>
        <v>-12115.52399999999</v>
      </c>
      <c r="G35" s="320"/>
      <c r="H35" s="319">
        <f>H33-H34</f>
        <v>18103.97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39" t="s">
        <v>267</v>
      </c>
      <c r="C36" s="239"/>
      <c r="D36" s="23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39"/>
      <c r="C37" s="239"/>
      <c r="D37" s="23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39" t="s">
        <v>268</v>
      </c>
      <c r="C38" s="239"/>
      <c r="D38" s="23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39"/>
      <c r="C39" s="239"/>
      <c r="D39" s="23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39" t="s">
        <v>269</v>
      </c>
      <c r="C40" s="239"/>
      <c r="D40" s="23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41"/>
      <c r="J41" s="62"/>
      <c r="N41" s="341"/>
      <c r="O41" s="341"/>
      <c r="P41" s="341"/>
      <c r="Q41" s="341"/>
    </row>
    <row r="42" spans="2:18">
      <c r="B42" s="239" t="s">
        <v>270</v>
      </c>
      <c r="C42" s="239"/>
      <c r="D42" s="23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E43" s="285" t="s">
        <v>12</v>
      </c>
      <c r="F43" s="285"/>
      <c r="G43" s="3"/>
      <c r="I43" s="3"/>
    </row>
    <row r="44" spans="2:18">
      <c r="I44" s="3"/>
    </row>
  </sheetData>
  <mergeCells count="46">
    <mergeCell ref="E43:F43"/>
    <mergeCell ref="I40:J40"/>
    <mergeCell ref="E41:F41"/>
    <mergeCell ref="E42:F42"/>
    <mergeCell ref="G42:H42"/>
    <mergeCell ref="I42:J42"/>
    <mergeCell ref="E40:F40"/>
    <mergeCell ref="G40:H40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D34:E34"/>
    <mergeCell ref="F34:G34"/>
    <mergeCell ref="H34:I34"/>
    <mergeCell ref="H35:I35"/>
    <mergeCell ref="E36:F36"/>
    <mergeCell ref="G36:H36"/>
    <mergeCell ref="D35:E35"/>
    <mergeCell ref="F35:G35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33:E33"/>
    <mergeCell ref="D5:F5"/>
    <mergeCell ref="D12:E12"/>
    <mergeCell ref="F33:G33"/>
    <mergeCell ref="H33:I33"/>
    <mergeCell ref="B30:I30"/>
    <mergeCell ref="D31:E31"/>
    <mergeCell ref="F31:G31"/>
    <mergeCell ref="H31:I31"/>
    <mergeCell ref="D32:E32"/>
    <mergeCell ref="F32:G32"/>
    <mergeCell ref="H32:I3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7109375" style="1" customWidth="1"/>
    <col min="3" max="3" width="12.7109375" style="3" customWidth="1"/>
    <col min="4" max="4" width="9.5703125" style="3" customWidth="1"/>
    <col min="5" max="5" width="9.7109375" style="3" customWidth="1"/>
    <col min="6" max="6" width="10.28515625" style="3" customWidth="1"/>
    <col min="7" max="7" width="9.85546875" style="1" customWidth="1"/>
    <col min="8" max="8" width="10.42578125" style="1" customWidth="1"/>
    <col min="9" max="9" width="11.7109375" style="1" customWidth="1"/>
    <col min="10" max="10" width="10.7109375" style="1" bestFit="1" customWidth="1"/>
    <col min="11" max="13" width="9.140625" style="1"/>
    <col min="14" max="14" width="12.85546875" style="339" customWidth="1"/>
    <col min="15" max="15" width="11.5703125" style="339" customWidth="1"/>
    <col min="16" max="16" width="12.140625" style="339" customWidth="1"/>
    <col min="17" max="17" width="13.28515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6.2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5" customHeight="1"/>
    <row r="5" spans="1:18">
      <c r="B5" s="1" t="s">
        <v>0</v>
      </c>
      <c r="D5" s="299" t="s">
        <v>133</v>
      </c>
      <c r="E5" s="299"/>
      <c r="F5" s="299"/>
    </row>
    <row r="6" spans="1:18">
      <c r="B6" s="1" t="s">
        <v>1</v>
      </c>
      <c r="D6" s="25">
        <v>1960</v>
      </c>
      <c r="E6" s="25"/>
      <c r="F6" s="25"/>
    </row>
    <row r="7" spans="1:18" hidden="1" outlineLevel="1">
      <c r="B7" s="1" t="s">
        <v>2</v>
      </c>
      <c r="D7" s="25">
        <v>2</v>
      </c>
      <c r="E7" s="25"/>
      <c r="F7" s="25"/>
    </row>
    <row r="8" spans="1:18" hidden="1" outlineLevel="1">
      <c r="B8" s="1" t="s">
        <v>3</v>
      </c>
      <c r="D8" s="25">
        <v>8</v>
      </c>
      <c r="E8" s="25"/>
      <c r="F8" s="25"/>
    </row>
    <row r="9" spans="1:18" ht="30.75" hidden="1" customHeight="1" outlineLevel="1">
      <c r="B9" s="2" t="s">
        <v>4</v>
      </c>
      <c r="C9" s="7"/>
      <c r="D9" s="25" t="s">
        <v>134</v>
      </c>
      <c r="E9" s="25"/>
      <c r="F9" s="25"/>
    </row>
    <row r="10" spans="1:18" collapsed="1">
      <c r="B10" s="1" t="s">
        <v>5</v>
      </c>
      <c r="D10" s="38" t="s">
        <v>259</v>
      </c>
      <c r="E10" s="25"/>
      <c r="F10" s="25"/>
      <c r="J10" s="10"/>
    </row>
    <row r="11" spans="1:18" hidden="1" outlineLevel="1">
      <c r="B11" s="1" t="s">
        <v>6</v>
      </c>
      <c r="D11" s="25" t="s">
        <v>16</v>
      </c>
      <c r="E11" s="25"/>
      <c r="F11" s="25"/>
    </row>
    <row r="12" spans="1:18" ht="30.75" hidden="1" customHeight="1" outlineLevel="1">
      <c r="B12" s="2" t="s">
        <v>7</v>
      </c>
      <c r="C12" s="7"/>
      <c r="D12" s="323" t="s">
        <v>135</v>
      </c>
      <c r="E12" s="323"/>
      <c r="F12" s="25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18476.27</v>
      </c>
      <c r="O15" s="341">
        <v>20822.04</v>
      </c>
      <c r="P15" s="341">
        <f>18973.64*0.97</f>
        <v>18404.430799999998</v>
      </c>
      <c r="Q15" s="341">
        <f>21216.68*0.98</f>
        <v>20792.346399999999</v>
      </c>
      <c r="R15" s="339">
        <f>(N15+O15)/(P15+Q15)*100</f>
        <v>100.25903354115553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4637.7667461258698</v>
      </c>
      <c r="H16" s="81">
        <f>($P$15/$P$16*E16)+($Q$15/$Q$16*F16)</f>
        <v>4625.5223811353571</v>
      </c>
      <c r="I16" s="82">
        <f>H16-G16</f>
        <v>-12.244364990512622</v>
      </c>
      <c r="J16" s="43"/>
      <c r="K16" s="12"/>
      <c r="L16" s="12"/>
      <c r="M16" s="13"/>
      <c r="N16" s="342">
        <v>8.16</v>
      </c>
      <c r="O16" s="341">
        <f>16.15-2-4.85</f>
        <v>9.2999999999999989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4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42">
        <v>0.28000000000000003</v>
      </c>
      <c r="F18" s="230">
        <v>0.27</v>
      </c>
      <c r="G18" s="80">
        <f t="shared" si="0"/>
        <v>1238.5004955724228</v>
      </c>
      <c r="H18" s="53">
        <f t="shared" si="1"/>
        <v>1235.1733527261226</v>
      </c>
      <c r="I18" s="82">
        <f t="shared" si="2"/>
        <v>-3.3271428463001484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42">
        <v>0.05</v>
      </c>
      <c r="F19" s="230">
        <v>0.05</v>
      </c>
      <c r="G19" s="80">
        <f t="shared" si="0"/>
        <v>225.15889033839346</v>
      </c>
      <c r="H19" s="53">
        <f t="shared" si="1"/>
        <v>224.55905615117013</v>
      </c>
      <c r="I19" s="82">
        <f t="shared" si="2"/>
        <v>-0.59983418722333681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42">
        <v>1.1399999999999999</v>
      </c>
      <c r="F20" s="230">
        <v>1.33</v>
      </c>
      <c r="G20" s="80">
        <f t="shared" si="0"/>
        <v>5559.0192158444024</v>
      </c>
      <c r="H20" s="53">
        <f t="shared" si="1"/>
        <v>5544.7363529348504</v>
      </c>
      <c r="I20" s="82">
        <f t="shared" si="2"/>
        <v>-14.282862909552023</v>
      </c>
      <c r="J20" s="5"/>
      <c r="N20" s="341"/>
      <c r="O20" s="341"/>
      <c r="P20" s="341"/>
      <c r="Q20" s="341"/>
    </row>
    <row r="21" spans="2:18" ht="145.5" customHeight="1">
      <c r="B21" s="102" t="s">
        <v>282</v>
      </c>
      <c r="C21" s="76" t="s">
        <v>303</v>
      </c>
      <c r="D21" s="77" t="s">
        <v>300</v>
      </c>
      <c r="E21" s="242">
        <v>3.67</v>
      </c>
      <c r="F21" s="230">
        <v>3.33</v>
      </c>
      <c r="G21" s="80">
        <f t="shared" si="0"/>
        <v>15765.426679870336</v>
      </c>
      <c r="H21" s="53">
        <f t="shared" si="1"/>
        <v>15722.484423001262</v>
      </c>
      <c r="I21" s="82">
        <f t="shared" si="2"/>
        <v>-42.94225686907339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42">
        <v>1.94</v>
      </c>
      <c r="F22" s="230">
        <v>2</v>
      </c>
      <c r="G22" s="80">
        <v>8637.18</v>
      </c>
      <c r="H22" s="53">
        <v>8768.8700000000008</v>
      </c>
      <c r="I22" s="82">
        <f t="shared" si="2"/>
        <v>131.69000000000051</v>
      </c>
      <c r="J22" s="5"/>
      <c r="N22" s="341"/>
      <c r="O22" s="341"/>
      <c r="P22" s="341"/>
      <c r="Q22" s="341"/>
      <c r="R22" s="351"/>
    </row>
    <row r="23" spans="2:18" ht="102">
      <c r="B23" s="102" t="s">
        <v>305</v>
      </c>
      <c r="C23" s="76" t="s">
        <v>299</v>
      </c>
      <c r="D23" s="77" t="s">
        <v>300</v>
      </c>
      <c r="E23" s="242">
        <v>0.22</v>
      </c>
      <c r="F23" s="230">
        <v>0.21</v>
      </c>
      <c r="G23" s="80">
        <f t="shared" si="0"/>
        <v>968.30982716635049</v>
      </c>
      <c r="H23" s="53">
        <f t="shared" si="1"/>
        <v>965.7024853447183</v>
      </c>
      <c r="I23" s="82">
        <f t="shared" si="2"/>
        <v>-2.6073418216321897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42">
        <v>4.8499999999999996</v>
      </c>
      <c r="F24" s="230">
        <v>4.8499999999999996</v>
      </c>
      <c r="G24" s="80">
        <v>21963.22</v>
      </c>
      <c r="H24" s="53">
        <v>8570</v>
      </c>
      <c r="I24" s="82">
        <f t="shared" si="2"/>
        <v>-13393.220000000001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42">
        <v>0.71</v>
      </c>
      <c r="F25" s="230">
        <v>1.44</v>
      </c>
      <c r="G25" s="80">
        <f t="shared" si="0"/>
        <v>4831.6744363535745</v>
      </c>
      <c r="H25" s="53">
        <f t="shared" si="1"/>
        <v>4820.8260029380126</v>
      </c>
      <c r="I25" s="82">
        <f t="shared" si="2"/>
        <v>-10.848433415561885</v>
      </c>
      <c r="J25" s="5"/>
      <c r="K25" s="240"/>
      <c r="L25" s="24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42">
        <v>0.25</v>
      </c>
      <c r="F26" s="230">
        <v>0.83</v>
      </c>
      <c r="G26" s="80">
        <f t="shared" si="0"/>
        <v>2424.3732904016447</v>
      </c>
      <c r="H26" s="53">
        <f t="shared" si="1"/>
        <v>2419.5222605407962</v>
      </c>
      <c r="I26" s="82">
        <f t="shared" si="2"/>
        <v>-4.8510298608484845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0.83</v>
      </c>
      <c r="F27" s="106">
        <v>0.79</v>
      </c>
      <c r="G27" s="107">
        <f t="shared" si="0"/>
        <v>3648.0804183270084</v>
      </c>
      <c r="H27" s="119">
        <f t="shared" si="1"/>
        <v>3638.2508852277033</v>
      </c>
      <c r="I27" s="109">
        <f t="shared" si="2"/>
        <v>-9.8295330993050811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14.950000000000001</v>
      </c>
      <c r="F28" s="113">
        <f>SUM(F16:F27)</f>
        <v>16.150000000000002</v>
      </c>
      <c r="G28" s="114">
        <f>SUM(G16:G27)</f>
        <v>69898.710000000006</v>
      </c>
      <c r="H28" s="115">
        <f>SUM(H16:H27)</f>
        <v>56535.647199999999</v>
      </c>
      <c r="I28" s="116">
        <f>H28-G28</f>
        <v>-13363.062800000007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4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69898.709999999992</v>
      </c>
      <c r="E32" s="296"/>
      <c r="F32" s="295">
        <f>18476.27+20822.04+8637.18</f>
        <v>47935.49</v>
      </c>
      <c r="G32" s="296"/>
      <c r="H32" s="295">
        <f>G24</f>
        <v>21963.22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66766.17</v>
      </c>
      <c r="E33" s="296"/>
      <c r="F33" s="295">
        <f>17699.96+19947.16+8078.66</f>
        <v>45725.78</v>
      </c>
      <c r="G33" s="296"/>
      <c r="H33" s="295">
        <v>21040.39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56535.647199999999</v>
      </c>
      <c r="E34" s="315"/>
      <c r="F34" s="314">
        <f>H16+H17+H18+H19+H20+H21+H22+H23+H25+H26+H27</f>
        <v>47965.647199999999</v>
      </c>
      <c r="G34" s="315"/>
      <c r="H34" s="314">
        <f>H24</f>
        <v>8570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10230.522799999999</v>
      </c>
      <c r="E35" s="318"/>
      <c r="F35" s="319">
        <f>F33-F34</f>
        <v>-2239.8672000000006</v>
      </c>
      <c r="G35" s="320"/>
      <c r="H35" s="319">
        <f>H33-H34</f>
        <v>12470.39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39" t="s">
        <v>267</v>
      </c>
      <c r="C36" s="239"/>
      <c r="D36" s="23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39"/>
      <c r="C37" s="239"/>
      <c r="D37" s="23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39" t="s">
        <v>268</v>
      </c>
      <c r="C38" s="239"/>
      <c r="D38" s="23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39"/>
      <c r="C39" s="239"/>
      <c r="D39" s="23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39" t="s">
        <v>269</v>
      </c>
      <c r="C40" s="239"/>
      <c r="D40" s="23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41"/>
      <c r="J41" s="62"/>
      <c r="N41" s="341"/>
      <c r="O41" s="341"/>
      <c r="P41" s="341"/>
      <c r="Q41" s="341"/>
    </row>
    <row r="42" spans="2:18">
      <c r="B42" s="239" t="s">
        <v>270</v>
      </c>
      <c r="C42" s="239"/>
      <c r="D42" s="23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8.25" customHeight="1">
      <c r="E43" s="285" t="s">
        <v>12</v>
      </c>
      <c r="F43" s="285"/>
      <c r="G43" s="3"/>
      <c r="I43" s="3"/>
    </row>
    <row r="44" spans="2:18">
      <c r="I44" s="3"/>
    </row>
  </sheetData>
  <mergeCells count="46">
    <mergeCell ref="E43:F43"/>
    <mergeCell ref="G40:H40"/>
    <mergeCell ref="I40:J40"/>
    <mergeCell ref="E41:F41"/>
    <mergeCell ref="E42:F42"/>
    <mergeCell ref="G42:H42"/>
    <mergeCell ref="I42:J42"/>
    <mergeCell ref="E40:F40"/>
    <mergeCell ref="I37:J37"/>
    <mergeCell ref="E38:F38"/>
    <mergeCell ref="G38:H38"/>
    <mergeCell ref="I38:J38"/>
    <mergeCell ref="E39:F39"/>
    <mergeCell ref="G39:H39"/>
    <mergeCell ref="I39:J39"/>
    <mergeCell ref="D33:E33"/>
    <mergeCell ref="F33:G33"/>
    <mergeCell ref="H33:I33"/>
    <mergeCell ref="H34:I34"/>
    <mergeCell ref="H35:I35"/>
    <mergeCell ref="F34:G34"/>
    <mergeCell ref="F35:G35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36:F36"/>
    <mergeCell ref="G36:H36"/>
    <mergeCell ref="E37:F37"/>
    <mergeCell ref="G37:H37"/>
    <mergeCell ref="D34:E34"/>
    <mergeCell ref="D35:E35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28515625" style="1" customWidth="1"/>
    <col min="3" max="3" width="11.85546875" style="50" customWidth="1"/>
    <col min="4" max="4" width="8.42578125" style="3" customWidth="1"/>
    <col min="5" max="5" width="10.7109375" style="3" customWidth="1"/>
    <col min="6" max="6" width="10.28515625" style="3" customWidth="1"/>
    <col min="7" max="7" width="9.85546875" style="1" customWidth="1"/>
    <col min="8" max="8" width="10.28515625" style="1" customWidth="1"/>
    <col min="9" max="9" width="10.7109375" style="1" customWidth="1"/>
    <col min="10" max="10" width="10.7109375" style="1" bestFit="1" customWidth="1"/>
    <col min="11" max="13" width="9.140625" style="1"/>
    <col min="14" max="14" width="11.85546875" style="339" customWidth="1"/>
    <col min="15" max="15" width="13" style="339" customWidth="1"/>
    <col min="16" max="17" width="13.570312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19.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2.75" customHeight="1"/>
    <row r="5" spans="1:18">
      <c r="B5" s="1" t="s">
        <v>0</v>
      </c>
      <c r="D5" s="299" t="s">
        <v>136</v>
      </c>
      <c r="E5" s="299"/>
      <c r="F5" s="299"/>
    </row>
    <row r="6" spans="1:18">
      <c r="B6" s="1" t="s">
        <v>1</v>
      </c>
      <c r="D6" s="25">
        <v>1960</v>
      </c>
      <c r="E6" s="25"/>
      <c r="F6" s="25"/>
    </row>
    <row r="7" spans="1:18" hidden="1" outlineLevel="1">
      <c r="B7" s="1" t="s">
        <v>2</v>
      </c>
      <c r="D7" s="25">
        <v>2</v>
      </c>
      <c r="E7" s="25"/>
      <c r="F7" s="25"/>
    </row>
    <row r="8" spans="1:18" hidden="1" outlineLevel="1">
      <c r="B8" s="1" t="s">
        <v>3</v>
      </c>
      <c r="D8" s="25">
        <v>6</v>
      </c>
      <c r="E8" s="25"/>
      <c r="F8" s="25"/>
    </row>
    <row r="9" spans="1:18" ht="30.75" hidden="1" customHeight="1" outlineLevel="1">
      <c r="B9" s="2" t="s">
        <v>4</v>
      </c>
      <c r="C9" s="51"/>
      <c r="D9" s="25" t="s">
        <v>137</v>
      </c>
      <c r="E9" s="25"/>
      <c r="F9" s="25"/>
    </row>
    <row r="10" spans="1:18" collapsed="1">
      <c r="B10" s="1" t="s">
        <v>5</v>
      </c>
      <c r="D10" s="38" t="s">
        <v>260</v>
      </c>
      <c r="E10" s="25"/>
      <c r="F10" s="25"/>
      <c r="J10" s="10"/>
    </row>
    <row r="11" spans="1:18" hidden="1" outlineLevel="1">
      <c r="B11" s="1" t="s">
        <v>6</v>
      </c>
      <c r="D11" s="25" t="s">
        <v>138</v>
      </c>
      <c r="E11" s="25"/>
      <c r="F11" s="25"/>
    </row>
    <row r="12" spans="1:18" ht="30.75" hidden="1" customHeight="1" outlineLevel="1">
      <c r="B12" s="2" t="s">
        <v>7</v>
      </c>
      <c r="C12" s="51"/>
      <c r="D12" s="323" t="s">
        <v>139</v>
      </c>
      <c r="E12" s="323"/>
      <c r="F12" s="25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13881.81</v>
      </c>
      <c r="O15" s="341">
        <v>15653.99</v>
      </c>
      <c r="P15" s="341">
        <f>14530.46*0.95</f>
        <v>13803.936999999998</v>
      </c>
      <c r="Q15" s="341">
        <f>16385.44*0.95</f>
        <v>15566.167999999998</v>
      </c>
      <c r="R15" s="339">
        <f>(N15+O15)/(P15+Q15)*100</f>
        <v>100.56416209611783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3536.3008194713457</v>
      </c>
      <c r="H16" s="81">
        <f>($P$15/$P$16*E16)+($Q$15/$Q$16*F16)</f>
        <v>3516.4623117902852</v>
      </c>
      <c r="I16" s="82">
        <f>H16-G16</f>
        <v>-19.838507681060491</v>
      </c>
      <c r="J16" s="43"/>
      <c r="K16" s="12"/>
      <c r="L16" s="12"/>
      <c r="M16" s="13"/>
      <c r="N16" s="342">
        <f>14.83-1.94-4.85</f>
        <v>8.0400000000000009</v>
      </c>
      <c r="O16" s="341">
        <f>16.02-2-4.85</f>
        <v>9.17</v>
      </c>
      <c r="P16" s="342">
        <v>8.0399999999999991</v>
      </c>
      <c r="Q16" s="341">
        <v>9.17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47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47">
        <v>0.28000000000000003</v>
      </c>
      <c r="F18" s="230">
        <v>0.27</v>
      </c>
      <c r="G18" s="80">
        <f t="shared" si="0"/>
        <v>944.35967447386838</v>
      </c>
      <c r="H18" s="53">
        <f t="shared" si="1"/>
        <v>939.06186265509962</v>
      </c>
      <c r="I18" s="82">
        <f t="shared" si="2"/>
        <v>-5.2978118187687642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47">
        <v>0.05</v>
      </c>
      <c r="F19" s="230">
        <v>0.06</v>
      </c>
      <c r="G19" s="80">
        <f t="shared" si="0"/>
        <v>188.75489863930076</v>
      </c>
      <c r="H19" s="53">
        <f t="shared" si="1"/>
        <v>187.69598785923165</v>
      </c>
      <c r="I19" s="82">
        <f t="shared" si="2"/>
        <v>-1.0589107800691124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47">
        <v>1.1399999999999999</v>
      </c>
      <c r="F20" s="230">
        <v>1.33</v>
      </c>
      <c r="G20" s="80">
        <f t="shared" si="0"/>
        <v>4238.7423738179332</v>
      </c>
      <c r="H20" s="53">
        <f t="shared" si="1"/>
        <v>4214.96313780335</v>
      </c>
      <c r="I20" s="82">
        <f t="shared" si="2"/>
        <v>-23.779236014583148</v>
      </c>
      <c r="J20" s="5"/>
      <c r="N20" s="341"/>
      <c r="O20" s="341"/>
      <c r="P20" s="341"/>
      <c r="Q20" s="341"/>
    </row>
    <row r="21" spans="2:18" ht="153">
      <c r="B21" s="102" t="s">
        <v>282</v>
      </c>
      <c r="C21" s="76" t="s">
        <v>303</v>
      </c>
      <c r="D21" s="77" t="s">
        <v>300</v>
      </c>
      <c r="E21" s="247">
        <v>3.67</v>
      </c>
      <c r="F21" s="230">
        <v>3.33</v>
      </c>
      <c r="G21" s="80">
        <f t="shared" si="0"/>
        <v>12021.197863287161</v>
      </c>
      <c r="H21" s="53">
        <f t="shared" si="1"/>
        <v>11953.759616610241</v>
      </c>
      <c r="I21" s="82">
        <f t="shared" si="2"/>
        <v>-67.438246676920244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47">
        <v>1.94</v>
      </c>
      <c r="F22" s="230">
        <v>2</v>
      </c>
      <c r="G22" s="80">
        <v>6502.8</v>
      </c>
      <c r="H22" s="53">
        <v>6601.86</v>
      </c>
      <c r="I22" s="82">
        <f t="shared" si="2"/>
        <v>99.059999999999491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47">
        <v>0.22</v>
      </c>
      <c r="F23" s="230">
        <v>0.21</v>
      </c>
      <c r="G23" s="80">
        <f t="shared" si="0"/>
        <v>738.33884299874671</v>
      </c>
      <c r="H23" s="53">
        <f t="shared" si="1"/>
        <v>734.19679892522117</v>
      </c>
      <c r="I23" s="82">
        <f t="shared" si="2"/>
        <v>-4.1420440735255397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47">
        <v>4.8499999999999996</v>
      </c>
      <c r="F24" s="230">
        <v>4.8499999999999996</v>
      </c>
      <c r="G24" s="80">
        <v>16747.96</v>
      </c>
      <c r="H24" s="53">
        <v>7603</v>
      </c>
      <c r="I24" s="82">
        <f t="shared" si="2"/>
        <v>-9144.9599999999991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47">
        <v>0.71</v>
      </c>
      <c r="F25" s="230">
        <v>1.44</v>
      </c>
      <c r="G25" s="80">
        <f t="shared" si="0"/>
        <v>3684.0868583879947</v>
      </c>
      <c r="H25" s="53">
        <f t="shared" si="1"/>
        <v>3663.4189909598672</v>
      </c>
      <c r="I25" s="82">
        <f t="shared" si="2"/>
        <v>-20.667867428127465</v>
      </c>
      <c r="J25" s="5"/>
      <c r="K25" s="245"/>
      <c r="L25" s="24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47">
        <v>0.25</v>
      </c>
      <c r="F26" s="230">
        <v>0.83</v>
      </c>
      <c r="G26" s="80">
        <f t="shared" si="0"/>
        <v>1848.5307309282377</v>
      </c>
      <c r="H26" s="53">
        <f t="shared" si="1"/>
        <v>1838.160314432472</v>
      </c>
      <c r="I26" s="82">
        <f t="shared" si="2"/>
        <v>-10.370416495765767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0.71</v>
      </c>
      <c r="F27" s="106">
        <v>0.65</v>
      </c>
      <c r="G27" s="107">
        <f t="shared" si="0"/>
        <v>2335.48793799541</v>
      </c>
      <c r="H27" s="119">
        <f t="shared" si="1"/>
        <v>2322.3859789642302</v>
      </c>
      <c r="I27" s="109">
        <f t="shared" si="2"/>
        <v>-13.101959031179831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14.830000000000002</v>
      </c>
      <c r="F28" s="113">
        <f>SUM(F16:F27)</f>
        <v>16.02</v>
      </c>
      <c r="G28" s="114">
        <f>SUM(G16:G27)</f>
        <v>52786.55999999999</v>
      </c>
      <c r="H28" s="115">
        <f>SUM(H16:H27)</f>
        <v>43574.964999999997</v>
      </c>
      <c r="I28" s="116">
        <f>H28-G28</f>
        <v>-9211.5949999999939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48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52786.559999999998</v>
      </c>
      <c r="E32" s="296"/>
      <c r="F32" s="295">
        <f>13881.81+15653.99+6502.8</f>
        <v>36038.6</v>
      </c>
      <c r="G32" s="296"/>
      <c r="H32" s="295">
        <f>G24</f>
        <v>16747.96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54667.6</v>
      </c>
      <c r="E33" s="296"/>
      <c r="F33" s="295">
        <f>14530.46+16385.44+6221.17</f>
        <v>37137.07</v>
      </c>
      <c r="G33" s="296"/>
      <c r="H33" s="295">
        <v>17530.53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43574.965000000004</v>
      </c>
      <c r="E34" s="315"/>
      <c r="F34" s="314">
        <f>H16+H17+H18+H19+H20+H21+H22+H23+H25+H26+H27</f>
        <v>35971.965000000004</v>
      </c>
      <c r="G34" s="315"/>
      <c r="H34" s="314">
        <f>H24</f>
        <v>7603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11092.634999999995</v>
      </c>
      <c r="E35" s="318"/>
      <c r="F35" s="319">
        <f>F33-F34</f>
        <v>1165.1049999999959</v>
      </c>
      <c r="G35" s="320"/>
      <c r="H35" s="319">
        <f>H33-H34</f>
        <v>9927.5299999999988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4" t="s">
        <v>267</v>
      </c>
      <c r="C36" s="244"/>
      <c r="D36" s="24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4"/>
      <c r="C37" s="244"/>
      <c r="D37" s="24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4" t="s">
        <v>268</v>
      </c>
      <c r="C38" s="244"/>
      <c r="D38" s="24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4"/>
      <c r="C39" s="244"/>
      <c r="D39" s="24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4" t="s">
        <v>269</v>
      </c>
      <c r="C40" s="244"/>
      <c r="D40" s="24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46"/>
      <c r="J41" s="62"/>
      <c r="N41" s="341"/>
      <c r="O41" s="341"/>
      <c r="P41" s="341"/>
      <c r="Q41" s="341"/>
    </row>
    <row r="42" spans="2:18">
      <c r="B42" s="244" t="s">
        <v>270</v>
      </c>
      <c r="C42" s="244"/>
      <c r="D42" s="24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8.25" customHeight="1">
      <c r="E43" s="285" t="s">
        <v>12</v>
      </c>
      <c r="F43" s="285"/>
    </row>
  </sheetData>
  <mergeCells count="46">
    <mergeCell ref="E43:F4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H35:I35"/>
    <mergeCell ref="E36:F36"/>
    <mergeCell ref="G36:H36"/>
    <mergeCell ref="E37:F37"/>
    <mergeCell ref="G37:H37"/>
    <mergeCell ref="I37:J37"/>
    <mergeCell ref="D35:E35"/>
    <mergeCell ref="F35:G35"/>
    <mergeCell ref="G42:H42"/>
    <mergeCell ref="I42:J42"/>
    <mergeCell ref="I38:J38"/>
    <mergeCell ref="E39:F39"/>
    <mergeCell ref="G39:H39"/>
    <mergeCell ref="I39:J39"/>
    <mergeCell ref="E40:F40"/>
    <mergeCell ref="G40:H40"/>
    <mergeCell ref="I40:J40"/>
    <mergeCell ref="E38:F38"/>
    <mergeCell ref="E41:F41"/>
    <mergeCell ref="E42:F42"/>
    <mergeCell ref="G38:H38"/>
  </mergeCells>
  <printOptions horizontalCentered="1"/>
  <pageMargins left="0.19685039370078741" right="0.19685039370078741" top="0.47244094488188981" bottom="0.23622047244094491" header="0.47244094488188981" footer="0.23622047244094491"/>
  <pageSetup paperSize="9" scale="4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1.85546875" style="1" customWidth="1"/>
    <col min="3" max="3" width="12.7109375" style="3" customWidth="1"/>
    <col min="4" max="4" width="9" style="3" customWidth="1"/>
    <col min="5" max="5" width="11" style="3" customWidth="1"/>
    <col min="6" max="6" width="10.28515625" style="3" customWidth="1"/>
    <col min="7" max="7" width="9.42578125" style="1" customWidth="1"/>
    <col min="8" max="8" width="10.42578125" style="1" customWidth="1"/>
    <col min="9" max="9" width="11.7109375" style="1" customWidth="1"/>
    <col min="10" max="10" width="10.7109375" style="1" bestFit="1" customWidth="1"/>
    <col min="11" max="13" width="9.140625" style="1"/>
    <col min="14" max="15" width="12.5703125" style="339" customWidth="1"/>
    <col min="16" max="16" width="14.140625" style="339" customWidth="1"/>
    <col min="17" max="17" width="14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2.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5" customHeight="1"/>
    <row r="5" spans="1:18">
      <c r="B5" s="1" t="s">
        <v>0</v>
      </c>
      <c r="D5" s="299" t="s">
        <v>140</v>
      </c>
      <c r="E5" s="299"/>
      <c r="F5" s="299"/>
    </row>
    <row r="6" spans="1:18">
      <c r="B6" s="1" t="s">
        <v>1</v>
      </c>
      <c r="D6" s="25">
        <v>1959</v>
      </c>
      <c r="E6" s="25"/>
      <c r="F6" s="25"/>
    </row>
    <row r="7" spans="1:18" hidden="1" outlineLevel="1">
      <c r="B7" s="1" t="s">
        <v>2</v>
      </c>
      <c r="D7" s="25">
        <v>2</v>
      </c>
      <c r="E7" s="25"/>
      <c r="F7" s="25"/>
    </row>
    <row r="8" spans="1:18" hidden="1" outlineLevel="1">
      <c r="B8" s="1" t="s">
        <v>3</v>
      </c>
      <c r="D8" s="25">
        <v>16</v>
      </c>
      <c r="E8" s="25"/>
      <c r="F8" s="25"/>
    </row>
    <row r="9" spans="1:18" ht="30.75" hidden="1" customHeight="1" outlineLevel="1">
      <c r="B9" s="2" t="s">
        <v>4</v>
      </c>
      <c r="C9" s="7"/>
      <c r="D9" s="25" t="s">
        <v>141</v>
      </c>
      <c r="E9" s="25"/>
      <c r="F9" s="25"/>
    </row>
    <row r="10" spans="1:18" collapsed="1">
      <c r="B10" s="1" t="s">
        <v>5</v>
      </c>
      <c r="D10" s="25" t="s">
        <v>141</v>
      </c>
      <c r="E10" s="25"/>
      <c r="F10" s="25"/>
      <c r="J10" s="10"/>
    </row>
    <row r="11" spans="1:18" hidden="1" outlineLevel="1">
      <c r="B11" s="1" t="s">
        <v>6</v>
      </c>
      <c r="D11" s="25" t="s">
        <v>16</v>
      </c>
      <c r="E11" s="25"/>
      <c r="F11" s="25"/>
    </row>
    <row r="12" spans="1:18" ht="30.75" hidden="1" customHeight="1" outlineLevel="1">
      <c r="B12" s="2" t="s">
        <v>7</v>
      </c>
      <c r="C12" s="7"/>
      <c r="D12" s="323" t="s">
        <v>142</v>
      </c>
      <c r="E12" s="323"/>
      <c r="F12" s="25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32433.32</v>
      </c>
      <c r="O15" s="341">
        <v>36551.089999999997</v>
      </c>
      <c r="P15" s="341">
        <v>32522.61</v>
      </c>
      <c r="Q15" s="341">
        <v>36367.39</v>
      </c>
      <c r="R15" s="339">
        <f>(N15+O15)/(P15+Q15)*100</f>
        <v>100.13704456379737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8141.1542520556613</v>
      </c>
      <c r="H16" s="81">
        <f>($P$15/$P$16*E16)+($Q$15/$Q$16*F16)</f>
        <v>8131.4657554554069</v>
      </c>
      <c r="I16" s="82">
        <f>H16-G16</f>
        <v>-9.6884966002544388</v>
      </c>
      <c r="J16" s="43"/>
      <c r="K16" s="12"/>
      <c r="L16" s="12"/>
      <c r="M16" s="13"/>
      <c r="N16" s="342">
        <f>14.95-1.94-4.85</f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47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47">
        <v>0.28000000000000003</v>
      </c>
      <c r="F18" s="230">
        <v>0.27</v>
      </c>
      <c r="G18" s="80">
        <f t="shared" si="0"/>
        <v>2174.0687166350408</v>
      </c>
      <c r="H18" s="53">
        <f t="shared" si="1"/>
        <v>2171.7993633776091</v>
      </c>
      <c r="I18" s="82">
        <f t="shared" si="2"/>
        <v>-2.2693532574317032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47">
        <v>0.05</v>
      </c>
      <c r="F19" s="230">
        <v>0.04</v>
      </c>
      <c r="G19" s="80">
        <f t="shared" si="0"/>
        <v>355.94256767868433</v>
      </c>
      <c r="H19" s="53">
        <f t="shared" si="1"/>
        <v>355.69958024984192</v>
      </c>
      <c r="I19" s="82">
        <f t="shared" si="2"/>
        <v>-0.24298742884241165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47">
        <v>1.1399999999999999</v>
      </c>
      <c r="F20" s="230">
        <v>1.33</v>
      </c>
      <c r="G20" s="80">
        <f t="shared" si="0"/>
        <v>9758.324480708412</v>
      </c>
      <c r="H20" s="53">
        <f t="shared" si="1"/>
        <v>9744.5277436748875</v>
      </c>
      <c r="I20" s="82">
        <f t="shared" si="2"/>
        <v>-13.79673703352455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47">
        <v>3.67</v>
      </c>
      <c r="F21" s="230">
        <v>3.33</v>
      </c>
      <c r="G21" s="80">
        <f t="shared" si="0"/>
        <v>27674.693011701453</v>
      </c>
      <c r="H21" s="53">
        <f t="shared" si="1"/>
        <v>27649.075175284626</v>
      </c>
      <c r="I21" s="82">
        <f t="shared" si="2"/>
        <v>-25.617836416826322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47">
        <v>1.94</v>
      </c>
      <c r="F22" s="230">
        <v>2</v>
      </c>
      <c r="G22" s="80">
        <v>14805.06</v>
      </c>
      <c r="H22" s="53">
        <v>15030.67</v>
      </c>
      <c r="I22" s="82">
        <f t="shared" si="2"/>
        <v>225.61000000000058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47">
        <v>0.22</v>
      </c>
      <c r="F23" s="230">
        <v>0.21</v>
      </c>
      <c r="G23" s="80">
        <f t="shared" si="0"/>
        <v>1699.7749386464261</v>
      </c>
      <c r="H23" s="53">
        <f t="shared" si="1"/>
        <v>1698.0342025616696</v>
      </c>
      <c r="I23" s="82">
        <f t="shared" si="2"/>
        <v>-1.7407360847564632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47">
        <v>4.8499999999999996</v>
      </c>
      <c r="F24" s="230">
        <v>4.8499999999999996</v>
      </c>
      <c r="G24" s="80">
        <v>38554.32</v>
      </c>
      <c r="H24" s="53">
        <v>0</v>
      </c>
      <c r="I24" s="82">
        <f t="shared" si="2"/>
        <v>-38554.32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47">
        <v>0.71</v>
      </c>
      <c r="F25" s="230">
        <v>1.44</v>
      </c>
      <c r="G25" s="80">
        <f t="shared" si="0"/>
        <v>8481.5404266287151</v>
      </c>
      <c r="H25" s="53">
        <f t="shared" si="1"/>
        <v>8460.8656610531289</v>
      </c>
      <c r="I25" s="82">
        <f t="shared" si="2"/>
        <v>-20.674765575586207</v>
      </c>
      <c r="J25" s="5"/>
      <c r="K25" s="245"/>
      <c r="L25" s="24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47">
        <v>0.25</v>
      </c>
      <c r="F26" s="230">
        <v>0.83</v>
      </c>
      <c r="G26" s="80">
        <f t="shared" si="0"/>
        <v>4255.7544190385825</v>
      </c>
      <c r="H26" s="53">
        <f t="shared" si="1"/>
        <v>4242.0952883459831</v>
      </c>
      <c r="I26" s="82">
        <f t="shared" si="2"/>
        <v>-13.659130692599319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0.83</v>
      </c>
      <c r="F27" s="106">
        <v>0.8</v>
      </c>
      <c r="G27" s="107">
        <f t="shared" si="0"/>
        <v>6443.1571869070212</v>
      </c>
      <c r="H27" s="119">
        <f t="shared" si="1"/>
        <v>6436.4372299968363</v>
      </c>
      <c r="I27" s="109">
        <f t="shared" si="2"/>
        <v>-6.7199569101849193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14.950000000000001</v>
      </c>
      <c r="F28" s="113">
        <f>SUM(F16:F27)</f>
        <v>16.149999999999999</v>
      </c>
      <c r="G28" s="114">
        <f>SUM(G16:G27)</f>
        <v>122343.79</v>
      </c>
      <c r="H28" s="115">
        <f>SUM(H16:H27)</f>
        <v>83920.67</v>
      </c>
      <c r="I28" s="116">
        <f>H28-G28</f>
        <v>-38423.119999999995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48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122343.79000000001</v>
      </c>
      <c r="E32" s="296"/>
      <c r="F32" s="295">
        <f>32433.32+36551.09+14805.06</f>
        <v>83789.47</v>
      </c>
      <c r="G32" s="296"/>
      <c r="H32" s="295">
        <f>G24</f>
        <v>38554.32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96761.239999999991</v>
      </c>
      <c r="E33" s="296"/>
      <c r="F33" s="295">
        <f>25649.98+28906.52+11713.96</f>
        <v>66270.459999999992</v>
      </c>
      <c r="G33" s="296"/>
      <c r="H33" s="295">
        <v>30490.78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83920.67</v>
      </c>
      <c r="E34" s="315"/>
      <c r="F34" s="314">
        <f>H16+H17+H18+H19+H20+H21+H22+H23+H25+H26+H27</f>
        <v>83920.67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12840.569999999992</v>
      </c>
      <c r="E35" s="318"/>
      <c r="F35" s="319">
        <f>F33-F34</f>
        <v>-17650.210000000006</v>
      </c>
      <c r="G35" s="320"/>
      <c r="H35" s="319">
        <f>H33-H34</f>
        <v>30490.78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4" t="s">
        <v>267</v>
      </c>
      <c r="C36" s="244"/>
      <c r="D36" s="24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4"/>
      <c r="C37" s="244"/>
      <c r="D37" s="24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4" t="s">
        <v>268</v>
      </c>
      <c r="C38" s="244"/>
      <c r="D38" s="24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4"/>
      <c r="C39" s="244"/>
      <c r="D39" s="24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4" t="s">
        <v>269</v>
      </c>
      <c r="C40" s="244"/>
      <c r="D40" s="24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46"/>
      <c r="J41" s="62"/>
      <c r="N41" s="341"/>
      <c r="O41" s="341"/>
      <c r="P41" s="341"/>
      <c r="Q41" s="341"/>
    </row>
    <row r="42" spans="2:18">
      <c r="B42" s="244" t="s">
        <v>270</v>
      </c>
      <c r="C42" s="244"/>
      <c r="D42" s="24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2" customHeight="1">
      <c r="C43" s="50"/>
      <c r="E43" s="285" t="s">
        <v>12</v>
      </c>
      <c r="F43" s="285"/>
    </row>
  </sheetData>
  <mergeCells count="46">
    <mergeCell ref="E43:F4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I40:J40"/>
    <mergeCell ref="E41:F41"/>
    <mergeCell ref="E42:F42"/>
    <mergeCell ref="G42:H42"/>
    <mergeCell ref="I42:J42"/>
    <mergeCell ref="E40:F40"/>
    <mergeCell ref="G40:H40"/>
  </mergeCells>
  <printOptions horizontalCentered="1"/>
  <pageMargins left="0.19685039370078741" right="0.19685039370078741" top="0.15748031496062992" bottom="0.27559055118110237" header="0.6692913385826772" footer="0.23622047244094491"/>
  <pageSetup paperSize="9" scale="4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28515625" style="1" customWidth="1"/>
    <col min="3" max="3" width="12.7109375" style="3" customWidth="1"/>
    <col min="4" max="4" width="8.28515625" style="3" customWidth="1"/>
    <col min="5" max="5" width="10.42578125" style="3" customWidth="1"/>
    <col min="6" max="6" width="10.28515625" style="3" customWidth="1"/>
    <col min="7" max="7" width="9.5703125" style="1" customWidth="1"/>
    <col min="8" max="8" width="10.42578125" style="1" customWidth="1"/>
    <col min="9" max="9" width="10.7109375" style="3" customWidth="1"/>
    <col min="10" max="10" width="10.7109375" style="1" bestFit="1" customWidth="1"/>
    <col min="11" max="11" width="11.7109375" style="1" customWidth="1"/>
    <col min="12" max="13" width="9.140625" style="1"/>
    <col min="14" max="15" width="12.140625" style="339" customWidth="1"/>
    <col min="16" max="16" width="11.28515625" style="339" customWidth="1"/>
    <col min="17" max="17" width="12.2851562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.7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3.5" customHeight="1"/>
    <row r="5" spans="1:18">
      <c r="B5" s="1" t="s">
        <v>0</v>
      </c>
      <c r="D5" s="299" t="s">
        <v>143</v>
      </c>
      <c r="E5" s="299"/>
      <c r="F5" s="299"/>
    </row>
    <row r="6" spans="1:18">
      <c r="B6" s="1" t="s">
        <v>1</v>
      </c>
      <c r="D6" s="25">
        <v>1958</v>
      </c>
      <c r="E6" s="25"/>
      <c r="F6" s="25"/>
    </row>
    <row r="7" spans="1:18" hidden="1" outlineLevel="1">
      <c r="B7" s="1" t="s">
        <v>2</v>
      </c>
      <c r="D7" s="25">
        <v>2</v>
      </c>
      <c r="E7" s="25"/>
      <c r="F7" s="25"/>
    </row>
    <row r="8" spans="1:18" hidden="1" outlineLevel="1">
      <c r="B8" s="1" t="s">
        <v>3</v>
      </c>
      <c r="D8" s="25">
        <v>8</v>
      </c>
      <c r="E8" s="25"/>
      <c r="F8" s="25"/>
    </row>
    <row r="9" spans="1:18" ht="30.75" hidden="1" customHeight="1" outlineLevel="1">
      <c r="B9" s="2" t="s">
        <v>4</v>
      </c>
      <c r="C9" s="7"/>
      <c r="D9" s="25" t="s">
        <v>144</v>
      </c>
      <c r="E9" s="25"/>
      <c r="F9" s="25"/>
    </row>
    <row r="10" spans="1:18" collapsed="1">
      <c r="B10" s="1" t="s">
        <v>5</v>
      </c>
      <c r="D10" s="25" t="s">
        <v>145</v>
      </c>
      <c r="E10" s="25"/>
      <c r="F10" s="25"/>
      <c r="J10" s="10"/>
    </row>
    <row r="11" spans="1:18" hidden="1" outlineLevel="1">
      <c r="B11" s="1" t="s">
        <v>6</v>
      </c>
      <c r="D11" s="25" t="s">
        <v>16</v>
      </c>
      <c r="E11" s="25"/>
      <c r="F11" s="25"/>
    </row>
    <row r="12" spans="1:18" ht="30.75" hidden="1" customHeight="1" outlineLevel="1">
      <c r="B12" s="2" t="s">
        <v>7</v>
      </c>
      <c r="C12" s="7"/>
      <c r="D12" s="323" t="s">
        <v>146</v>
      </c>
      <c r="E12" s="323"/>
      <c r="F12" s="25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20975.73</v>
      </c>
      <c r="O15" s="341">
        <v>19269.740000000002</v>
      </c>
      <c r="P15" s="341">
        <f>21571.79*0.88</f>
        <v>18983.175200000001</v>
      </c>
      <c r="Q15" s="341">
        <f>24121.98*0.88</f>
        <v>21227.342400000001</v>
      </c>
      <c r="R15" s="339">
        <f>(N15+O15)/(P15+Q15)*100</f>
        <v>100.08692352669442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5495.7227893734798</v>
      </c>
      <c r="H16" s="81">
        <f>($P$15/$P$16*E16)+($Q$15/$Q$16*F16)</f>
        <v>5520.7777193250295</v>
      </c>
      <c r="I16" s="82">
        <f>H16-G16</f>
        <v>25.054929951549639</v>
      </c>
      <c r="J16" s="43"/>
      <c r="K16" s="12"/>
      <c r="L16" s="12"/>
      <c r="M16" s="13"/>
      <c r="N16" s="342">
        <v>7.81</v>
      </c>
      <c r="O16" s="341">
        <v>7.27</v>
      </c>
      <c r="P16" s="342">
        <v>7.81</v>
      </c>
      <c r="Q16" s="341">
        <v>7.27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47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47">
        <v>0.28000000000000003</v>
      </c>
      <c r="F18" s="230">
        <v>0.27</v>
      </c>
      <c r="G18" s="80">
        <f t="shared" si="0"/>
        <v>1467.6682757090248</v>
      </c>
      <c r="H18" s="53">
        <f t="shared" si="1"/>
        <v>1468.9355049692936</v>
      </c>
      <c r="I18" s="82">
        <f t="shared" si="2"/>
        <v>1.2672292602687776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47">
        <v>0.02</v>
      </c>
      <c r="F19" s="230">
        <v>0.02</v>
      </c>
      <c r="G19" s="80">
        <f t="shared" si="0"/>
        <v>106.72672199257821</v>
      </c>
      <c r="H19" s="53">
        <f t="shared" si="1"/>
        <v>107.00957501598313</v>
      </c>
      <c r="I19" s="82">
        <f t="shared" si="2"/>
        <v>0.28285302340492535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47">
        <v>1.1399999999999999</v>
      </c>
      <c r="F20" s="230">
        <v>1.33</v>
      </c>
      <c r="G20" s="80">
        <f t="shared" si="0"/>
        <v>6587.0339651312906</v>
      </c>
      <c r="H20" s="53">
        <f t="shared" si="1"/>
        <v>6654.3181357459762</v>
      </c>
      <c r="I20" s="82">
        <f t="shared" si="2"/>
        <v>67.284170614685536</v>
      </c>
      <c r="J20" s="5"/>
      <c r="N20" s="341"/>
      <c r="O20" s="341"/>
      <c r="P20" s="341"/>
      <c r="Q20" s="341"/>
    </row>
    <row r="21" spans="2:18" ht="153">
      <c r="B21" s="102" t="s">
        <v>282</v>
      </c>
      <c r="C21" s="76" t="s">
        <v>303</v>
      </c>
      <c r="D21" s="77" t="s">
        <v>300</v>
      </c>
      <c r="E21" s="247">
        <v>3.67</v>
      </c>
      <c r="F21" s="230">
        <v>2.42</v>
      </c>
      <c r="G21" s="80">
        <f t="shared" si="0"/>
        <v>16271.124462254333</v>
      </c>
      <c r="H21" s="53">
        <f t="shared" si="1"/>
        <v>15986.4388586241</v>
      </c>
      <c r="I21" s="82">
        <f t="shared" si="2"/>
        <v>-284.68560363023244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47">
        <v>1.94</v>
      </c>
      <c r="F22" s="230">
        <v>2</v>
      </c>
      <c r="G22" s="80">
        <v>9856.92</v>
      </c>
      <c r="H22" s="53">
        <v>9969.64</v>
      </c>
      <c r="I22" s="82">
        <f t="shared" si="2"/>
        <v>112.71999999999935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47">
        <v>0.22</v>
      </c>
      <c r="F23" s="230">
        <v>0.21</v>
      </c>
      <c r="G23" s="80">
        <f t="shared" si="0"/>
        <v>1147.4881097312903</v>
      </c>
      <c r="H23" s="53">
        <f t="shared" si="1"/>
        <v>1147.906779921344</v>
      </c>
      <c r="I23" s="82">
        <f t="shared" si="2"/>
        <v>0.41867019005371731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47">
        <v>4.29</v>
      </c>
      <c r="F24" s="230">
        <v>4.29</v>
      </c>
      <c r="G24" s="80">
        <v>23043.759999999998</v>
      </c>
      <c r="H24" s="53">
        <v>0</v>
      </c>
      <c r="I24" s="82">
        <f t="shared" si="2"/>
        <v>-23043.759999999998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47">
        <v>0.71</v>
      </c>
      <c r="F25" s="230">
        <v>1.02</v>
      </c>
      <c r="G25" s="80">
        <f t="shared" si="0"/>
        <v>4610.4794285357011</v>
      </c>
      <c r="H25" s="53">
        <f t="shared" si="1"/>
        <v>4703.9948159559844</v>
      </c>
      <c r="I25" s="82">
        <f t="shared" si="2"/>
        <v>93.515387420283332</v>
      </c>
      <c r="J25" s="5"/>
      <c r="K25" s="245"/>
      <c r="L25" s="24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47">
        <v>0.25</v>
      </c>
      <c r="F26" s="230">
        <v>0.83</v>
      </c>
      <c r="G26" s="80">
        <f t="shared" si="0"/>
        <v>2871.4222917572965</v>
      </c>
      <c r="H26" s="53">
        <f t="shared" si="1"/>
        <v>3031.1353124590742</v>
      </c>
      <c r="I26" s="82">
        <f t="shared" si="2"/>
        <v>159.71302070177762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0.51</v>
      </c>
      <c r="F27" s="106">
        <v>0.12</v>
      </c>
      <c r="G27" s="107">
        <f t="shared" si="0"/>
        <v>1687.8039555150085</v>
      </c>
      <c r="H27" s="119">
        <f t="shared" si="1"/>
        <v>1590.0008979832228</v>
      </c>
      <c r="I27" s="109">
        <f t="shared" si="2"/>
        <v>-97.803057531785726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14.040000000000001</v>
      </c>
      <c r="F28" s="113">
        <f>SUM(F16:F27)</f>
        <v>13.559999999999999</v>
      </c>
      <c r="G28" s="114">
        <f>SUM(G16:G27)</f>
        <v>73146.149999999994</v>
      </c>
      <c r="H28" s="115">
        <f>SUM(H16:H27)</f>
        <v>50180.157600000006</v>
      </c>
      <c r="I28" s="116">
        <f>H28-G28</f>
        <v>-22965.992399999988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48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73146.149999999994</v>
      </c>
      <c r="E32" s="296"/>
      <c r="F32" s="295">
        <f>20975.73+19269.74+9856.92</f>
        <v>50102.39</v>
      </c>
      <c r="G32" s="296"/>
      <c r="H32" s="295">
        <f>G24</f>
        <v>23043.759999999998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55962.39</v>
      </c>
      <c r="E33" s="296"/>
      <c r="F33" s="295">
        <f>16106.63+14796.65+7364.5</f>
        <v>38267.78</v>
      </c>
      <c r="G33" s="296"/>
      <c r="H33" s="295">
        <v>17694.61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50180.157600000006</v>
      </c>
      <c r="E34" s="315"/>
      <c r="F34" s="314">
        <f>H16+H17+H18+H19+H20+H21+H22+H23+H25+H26+H27</f>
        <v>50180.157600000006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5782.2323999999935</v>
      </c>
      <c r="E35" s="318"/>
      <c r="F35" s="319">
        <f>F33-F34</f>
        <v>-11912.377600000007</v>
      </c>
      <c r="G35" s="320"/>
      <c r="H35" s="319">
        <f>H33-H34</f>
        <v>17694.61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4" t="s">
        <v>267</v>
      </c>
      <c r="C36" s="244"/>
      <c r="D36" s="24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4"/>
      <c r="C37" s="244"/>
      <c r="D37" s="24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4" t="s">
        <v>268</v>
      </c>
      <c r="C38" s="244"/>
      <c r="D38" s="24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4"/>
      <c r="C39" s="244"/>
      <c r="D39" s="24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4" t="s">
        <v>269</v>
      </c>
      <c r="C40" s="244"/>
      <c r="D40" s="24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46"/>
      <c r="J41" s="62"/>
      <c r="N41" s="341"/>
      <c r="O41" s="341"/>
      <c r="P41" s="341"/>
      <c r="Q41" s="341"/>
    </row>
    <row r="42" spans="2:18">
      <c r="B42" s="244" t="s">
        <v>270</v>
      </c>
      <c r="C42" s="244"/>
      <c r="D42" s="24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C43" s="50"/>
      <c r="E43" s="285" t="s">
        <v>12</v>
      </c>
      <c r="F43" s="285"/>
      <c r="I43" s="1"/>
    </row>
  </sheetData>
  <mergeCells count="46">
    <mergeCell ref="E43:F43"/>
    <mergeCell ref="E36:F36"/>
    <mergeCell ref="E37:F37"/>
    <mergeCell ref="E40:F40"/>
    <mergeCell ref="F34:G34"/>
    <mergeCell ref="F35:G35"/>
    <mergeCell ref="G36:H36"/>
    <mergeCell ref="G37:H37"/>
    <mergeCell ref="G40:H40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H34:I34"/>
    <mergeCell ref="H35:I35"/>
    <mergeCell ref="D35:E35"/>
    <mergeCell ref="D34:E34"/>
    <mergeCell ref="I37:J37"/>
    <mergeCell ref="E38:F38"/>
    <mergeCell ref="G38:H38"/>
    <mergeCell ref="I38:J38"/>
    <mergeCell ref="E39:F39"/>
    <mergeCell ref="G39:H39"/>
    <mergeCell ref="I39:J39"/>
    <mergeCell ref="I40:J40"/>
    <mergeCell ref="E41:F41"/>
    <mergeCell ref="E42:F42"/>
    <mergeCell ref="G42:H42"/>
    <mergeCell ref="I42:J42"/>
  </mergeCells>
  <printOptions horizontalCentered="1"/>
  <pageMargins left="0.19685039370078741" right="0.19685039370078741" top="0.15748031496062992" bottom="0.23622047244094491" header="0.16" footer="0.25"/>
  <pageSetup paperSize="9" scale="4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140625" style="1" customWidth="1"/>
    <col min="3" max="3" width="12.7109375" style="3" customWidth="1"/>
    <col min="4" max="4" width="8.28515625" style="3" customWidth="1"/>
    <col min="5" max="5" width="9.5703125" style="3" customWidth="1"/>
    <col min="6" max="6" width="10.28515625" style="3" customWidth="1"/>
    <col min="7" max="7" width="9.85546875" style="1" customWidth="1"/>
    <col min="8" max="8" width="10.28515625" style="1" customWidth="1"/>
    <col min="9" max="9" width="12.140625" style="1" customWidth="1"/>
    <col min="10" max="10" width="10.7109375" style="1" bestFit="1" customWidth="1"/>
    <col min="11" max="13" width="9.140625" style="1"/>
    <col min="14" max="14" width="14.85546875" style="339" customWidth="1"/>
    <col min="15" max="15" width="13.5703125" style="339" customWidth="1"/>
    <col min="16" max="16" width="14.7109375" style="339" customWidth="1"/>
    <col min="17" max="17" width="13.57031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99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.75" customHeight="1">
      <c r="A3" s="99"/>
      <c r="B3" s="313"/>
      <c r="C3" s="313"/>
      <c r="D3" s="313"/>
      <c r="E3" s="313"/>
      <c r="F3" s="313"/>
      <c r="G3" s="313"/>
      <c r="H3" s="313"/>
      <c r="I3" s="313"/>
    </row>
    <row r="4" spans="1:18" ht="15" customHeight="1"/>
    <row r="5" spans="1:18">
      <c r="B5" s="1" t="s">
        <v>0</v>
      </c>
      <c r="D5" s="299" t="s">
        <v>147</v>
      </c>
      <c r="E5" s="299"/>
      <c r="F5" s="299"/>
    </row>
    <row r="6" spans="1:18">
      <c r="B6" s="1" t="s">
        <v>1</v>
      </c>
      <c r="D6" s="25">
        <v>1960</v>
      </c>
      <c r="E6" s="25"/>
      <c r="F6" s="25"/>
    </row>
    <row r="7" spans="1:18" hidden="1" outlineLevel="1">
      <c r="B7" s="1" t="s">
        <v>2</v>
      </c>
      <c r="D7" s="25">
        <v>2</v>
      </c>
      <c r="E7" s="25"/>
      <c r="F7" s="25"/>
    </row>
    <row r="8" spans="1:18" hidden="1" outlineLevel="1">
      <c r="B8" s="1" t="s">
        <v>3</v>
      </c>
      <c r="D8" s="25">
        <v>15</v>
      </c>
      <c r="E8" s="25"/>
      <c r="F8" s="25"/>
    </row>
    <row r="9" spans="1:18" ht="30.75" hidden="1" customHeight="1" outlineLevel="1">
      <c r="B9" s="2" t="s">
        <v>4</v>
      </c>
      <c r="C9" s="7"/>
      <c r="D9" s="25" t="s">
        <v>150</v>
      </c>
      <c r="E9" s="25"/>
      <c r="F9" s="25"/>
    </row>
    <row r="10" spans="1:18" collapsed="1">
      <c r="B10" s="1" t="s">
        <v>5</v>
      </c>
      <c r="D10" s="38" t="s">
        <v>261</v>
      </c>
      <c r="E10" s="25"/>
      <c r="F10" s="25"/>
      <c r="J10" s="10"/>
    </row>
    <row r="11" spans="1:18" hidden="1" outlineLevel="1">
      <c r="B11" s="1" t="s">
        <v>6</v>
      </c>
      <c r="D11" s="25" t="s">
        <v>159</v>
      </c>
      <c r="E11" s="25"/>
      <c r="F11" s="25"/>
    </row>
    <row r="12" spans="1:18" ht="30.75" hidden="1" customHeight="1" outlineLevel="1">
      <c r="B12" s="2" t="s">
        <v>7</v>
      </c>
      <c r="C12" s="7"/>
      <c r="D12" s="323" t="s">
        <v>148</v>
      </c>
      <c r="E12" s="323"/>
      <c r="F12" s="25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26940.37</v>
      </c>
      <c r="O15" s="341">
        <v>30360.74</v>
      </c>
      <c r="P15" s="341">
        <f>27260.33*0.99</f>
        <v>26987.726700000003</v>
      </c>
      <c r="Q15" s="341">
        <f>30483.01*0.99</f>
        <v>30178.179899999999</v>
      </c>
      <c r="R15" s="339">
        <f>(N15+O15)/(P15+Q15)*100</f>
        <v>100.23651054980382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6762.3565745572423</v>
      </c>
      <c r="H16" s="81">
        <f>($P$15/$P$16*E16)+($Q$15/$Q$16*F16)</f>
        <v>6747.606502692126</v>
      </c>
      <c r="I16" s="82">
        <f>H16-G16</f>
        <v>-14.750071865116297</v>
      </c>
      <c r="J16" s="43"/>
      <c r="K16" s="12"/>
      <c r="L16" s="12"/>
      <c r="M16" s="13"/>
      <c r="N16" s="342">
        <f>14.95-1.94-4.85</f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47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47">
        <v>0.28000000000000003</v>
      </c>
      <c r="F18" s="230">
        <v>0.27</v>
      </c>
      <c r="G18" s="80">
        <f t="shared" si="0"/>
        <v>1805.8652994939912</v>
      </c>
      <c r="H18" s="53">
        <f t="shared" si="1"/>
        <v>1802.190152362429</v>
      </c>
      <c r="I18" s="82">
        <f t="shared" si="2"/>
        <v>-3.6751471315621984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47">
        <v>0.16</v>
      </c>
      <c r="F19" s="230">
        <v>0.05</v>
      </c>
      <c r="G19" s="80">
        <f t="shared" si="0"/>
        <v>691.47233396584443</v>
      </c>
      <c r="H19" s="53">
        <f t="shared" si="1"/>
        <v>691.41939079696408</v>
      </c>
      <c r="I19" s="82">
        <f t="shared" si="2"/>
        <v>-5.2943168880347002E-2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47">
        <v>1.1399999999999999</v>
      </c>
      <c r="F20" s="230">
        <v>1.33</v>
      </c>
      <c r="G20" s="80">
        <f t="shared" si="0"/>
        <v>8105.6404413345972</v>
      </c>
      <c r="H20" s="53">
        <f t="shared" si="1"/>
        <v>8086.1483935815941</v>
      </c>
      <c r="I20" s="82">
        <f t="shared" si="2"/>
        <v>-19.492047753003135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47">
        <v>3.67</v>
      </c>
      <c r="F21" s="230">
        <v>3.33</v>
      </c>
      <c r="G21" s="80">
        <f t="shared" si="0"/>
        <v>22987.66714555661</v>
      </c>
      <c r="H21" s="53">
        <f t="shared" si="1"/>
        <v>22943.597759651326</v>
      </c>
      <c r="I21" s="82">
        <f t="shared" si="2"/>
        <v>-44.069385905284435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47">
        <v>1.94</v>
      </c>
      <c r="F22" s="230">
        <v>2</v>
      </c>
      <c r="G22" s="80">
        <v>12409.5</v>
      </c>
      <c r="H22" s="53">
        <v>12598.65</v>
      </c>
      <c r="I22" s="82">
        <f t="shared" si="2"/>
        <v>189.14999999999964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47">
        <v>0.22</v>
      </c>
      <c r="F23" s="230">
        <v>0.21</v>
      </c>
      <c r="G23" s="80">
        <f t="shared" si="0"/>
        <v>1411.8986016761542</v>
      </c>
      <c r="H23" s="53">
        <f t="shared" si="1"/>
        <v>1409.0530506119544</v>
      </c>
      <c r="I23" s="82">
        <f t="shared" si="2"/>
        <v>-2.8455510641997535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47">
        <v>4.8499999999999996</v>
      </c>
      <c r="F24" s="230">
        <v>4.8499999999999996</v>
      </c>
      <c r="G24" s="80">
        <v>32024.7</v>
      </c>
      <c r="H24" s="53">
        <v>11702</v>
      </c>
      <c r="I24" s="82">
        <f t="shared" si="2"/>
        <v>-20322.7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47">
        <v>0.71</v>
      </c>
      <c r="F25" s="230">
        <v>1.44</v>
      </c>
      <c r="G25" s="80">
        <f t="shared" si="0"/>
        <v>7045.094117726122</v>
      </c>
      <c r="H25" s="53">
        <f t="shared" si="1"/>
        <v>7020.9472445849151</v>
      </c>
      <c r="I25" s="82">
        <f t="shared" si="2"/>
        <v>-24.146873141206925</v>
      </c>
      <c r="J25" s="5"/>
      <c r="K25" s="245"/>
      <c r="L25" s="24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47">
        <v>0.25</v>
      </c>
      <c r="F26" s="230">
        <v>0.83</v>
      </c>
      <c r="G26" s="80">
        <f t="shared" si="0"/>
        <v>3534.9934129506637</v>
      </c>
      <c r="H26" s="53">
        <f t="shared" si="1"/>
        <v>3520.1512940678363</v>
      </c>
      <c r="I26" s="82">
        <f t="shared" si="2"/>
        <v>-14.842118882827435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0.72</v>
      </c>
      <c r="F27" s="106">
        <v>0.79</v>
      </c>
      <c r="G27" s="107">
        <f t="shared" si="0"/>
        <v>4956.1220727387727</v>
      </c>
      <c r="H27" s="119">
        <f t="shared" si="1"/>
        <v>4944.7928116508538</v>
      </c>
      <c r="I27" s="109">
        <f t="shared" si="2"/>
        <v>-11.329261087918894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14.950000000000001</v>
      </c>
      <c r="F28" s="113">
        <f>SUM(F16:F27)</f>
        <v>16.150000000000002</v>
      </c>
      <c r="G28" s="114">
        <f>SUM(G16:G27)</f>
        <v>101735.31</v>
      </c>
      <c r="H28" s="115">
        <f>SUM(H16:H27)</f>
        <v>81466.556599999996</v>
      </c>
      <c r="I28" s="116">
        <f>H28-G28</f>
        <v>-20268.753400000001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15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48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101735.31</v>
      </c>
      <c r="E32" s="296"/>
      <c r="F32" s="295">
        <f>26940.37+30360.74+12409.5</f>
        <v>69710.61</v>
      </c>
      <c r="G32" s="296"/>
      <c r="H32" s="295">
        <f>G24</f>
        <v>32024.7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100536.98</v>
      </c>
      <c r="E33" s="296"/>
      <c r="F33" s="295">
        <f>26601.31+29978.64+12335.37</f>
        <v>68915.319999999992</v>
      </c>
      <c r="G33" s="296"/>
      <c r="H33" s="295">
        <v>31621.66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81466.556599999996</v>
      </c>
      <c r="E34" s="315"/>
      <c r="F34" s="314">
        <f>H16+H17+H18+H19+H20+H21+H22+H23+H25+H26+H27</f>
        <v>69764.556599999996</v>
      </c>
      <c r="G34" s="315"/>
      <c r="H34" s="314">
        <f>H24</f>
        <v>11702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19070.423399999996</v>
      </c>
      <c r="E35" s="318"/>
      <c r="F35" s="319">
        <f>F33-F34</f>
        <v>-849.23660000000382</v>
      </c>
      <c r="G35" s="320"/>
      <c r="H35" s="319">
        <f>H33-H34</f>
        <v>19919.66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4" t="s">
        <v>267</v>
      </c>
      <c r="C36" s="244"/>
      <c r="D36" s="24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4"/>
      <c r="C37" s="244"/>
      <c r="D37" s="24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4" t="s">
        <v>268</v>
      </c>
      <c r="C38" s="244"/>
      <c r="D38" s="24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4"/>
      <c r="C39" s="244"/>
      <c r="D39" s="24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4" t="s">
        <v>269</v>
      </c>
      <c r="C40" s="244"/>
      <c r="D40" s="24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46"/>
      <c r="J41" s="62"/>
      <c r="N41" s="341"/>
      <c r="O41" s="341"/>
      <c r="P41" s="341"/>
      <c r="Q41" s="341"/>
    </row>
    <row r="42" spans="2:18">
      <c r="B42" s="244" t="s">
        <v>270</v>
      </c>
      <c r="C42" s="244"/>
      <c r="D42" s="24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" customHeight="1">
      <c r="C43" s="50"/>
      <c r="E43" s="285" t="s">
        <v>12</v>
      </c>
      <c r="F43" s="285"/>
    </row>
  </sheetData>
  <mergeCells count="46">
    <mergeCell ref="E43:F4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H35:I35"/>
    <mergeCell ref="E36:F36"/>
    <mergeCell ref="G36:H36"/>
    <mergeCell ref="E37:F37"/>
    <mergeCell ref="G37:H37"/>
    <mergeCell ref="I37:J37"/>
    <mergeCell ref="D35:E35"/>
    <mergeCell ref="F35:G35"/>
    <mergeCell ref="I42:J42"/>
    <mergeCell ref="I38:J38"/>
    <mergeCell ref="E39:F39"/>
    <mergeCell ref="G39:H39"/>
    <mergeCell ref="I39:J39"/>
    <mergeCell ref="E40:F40"/>
    <mergeCell ref="G40:H40"/>
    <mergeCell ref="I40:J40"/>
    <mergeCell ref="E38:F38"/>
    <mergeCell ref="G38:H38"/>
    <mergeCell ref="E41:F41"/>
    <mergeCell ref="E42:F42"/>
    <mergeCell ref="G42:H42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4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5703125" style="1" customWidth="1"/>
    <col min="3" max="3" width="11.42578125" style="3" customWidth="1"/>
    <col min="4" max="4" width="10" style="3" customWidth="1"/>
    <col min="5" max="5" width="10.140625" style="3" customWidth="1"/>
    <col min="6" max="6" width="10.28515625" style="3" customWidth="1"/>
    <col min="7" max="7" width="8.5703125" style="1" customWidth="1"/>
    <col min="8" max="8" width="10.42578125" style="1" customWidth="1"/>
    <col min="9" max="9" width="11.7109375" style="1" customWidth="1"/>
    <col min="10" max="10" width="10.7109375" style="1" bestFit="1" customWidth="1"/>
    <col min="11" max="13" width="9.140625" style="1"/>
    <col min="14" max="14" width="14" style="339" customWidth="1"/>
    <col min="15" max="15" width="15.7109375" style="339" customWidth="1"/>
    <col min="16" max="16" width="13.5703125" style="339" customWidth="1"/>
    <col min="17" max="17" width="15.140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6.2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7.25" customHeight="1"/>
    <row r="5" spans="1:18">
      <c r="B5" s="1" t="s">
        <v>0</v>
      </c>
      <c r="D5" s="299" t="s">
        <v>149</v>
      </c>
      <c r="E5" s="299"/>
      <c r="F5" s="299"/>
    </row>
    <row r="6" spans="1:18">
      <c r="B6" s="1" t="s">
        <v>1</v>
      </c>
      <c r="D6" s="25">
        <v>1958</v>
      </c>
      <c r="E6" s="25"/>
      <c r="F6" s="25"/>
    </row>
    <row r="7" spans="1:18" hidden="1" outlineLevel="1">
      <c r="B7" s="1" t="s">
        <v>2</v>
      </c>
      <c r="D7" s="25">
        <v>2</v>
      </c>
      <c r="E7" s="25"/>
      <c r="F7" s="25"/>
    </row>
    <row r="8" spans="1:18" hidden="1" outlineLevel="1">
      <c r="B8" s="1" t="s">
        <v>3</v>
      </c>
      <c r="D8" s="25">
        <v>9</v>
      </c>
      <c r="E8" s="25"/>
      <c r="F8" s="25"/>
    </row>
    <row r="9" spans="1:18" ht="30.75" hidden="1" customHeight="1" outlineLevel="1">
      <c r="B9" s="2" t="s">
        <v>4</v>
      </c>
      <c r="C9" s="7"/>
      <c r="D9" s="25" t="s">
        <v>151</v>
      </c>
      <c r="E9" s="25"/>
      <c r="F9" s="25"/>
    </row>
    <row r="10" spans="1:18" collapsed="1">
      <c r="B10" s="1" t="s">
        <v>5</v>
      </c>
      <c r="D10" s="25" t="s">
        <v>152</v>
      </c>
      <c r="E10" s="25"/>
      <c r="F10" s="25"/>
      <c r="J10" s="10"/>
    </row>
    <row r="11" spans="1:18" hidden="1" outlineLevel="1">
      <c r="B11" s="1" t="s">
        <v>6</v>
      </c>
      <c r="D11" s="25" t="s">
        <v>16</v>
      </c>
      <c r="E11" s="25"/>
      <c r="F11" s="25"/>
    </row>
    <row r="12" spans="1:18" ht="30.75" hidden="1" customHeight="1" outlineLevel="1">
      <c r="B12" s="2" t="s">
        <v>7</v>
      </c>
      <c r="C12" s="7"/>
      <c r="D12" s="323" t="s">
        <v>153</v>
      </c>
      <c r="E12" s="323"/>
      <c r="F12" s="25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21328.3</v>
      </c>
      <c r="O15" s="341">
        <v>24869.5</v>
      </c>
      <c r="P15" s="341">
        <v>21627.61</v>
      </c>
      <c r="Q15" s="341">
        <v>24184.400000000001</v>
      </c>
      <c r="R15" s="339">
        <f>(N15+O15)/(P15+Q15)*100</f>
        <v>100.84211541907897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5447.7466516445293</v>
      </c>
      <c r="H16" s="81">
        <f>($P$15/$P$16*E16)+($Q$15/$Q$16*F16)</f>
        <v>5407.4436001739414</v>
      </c>
      <c r="I16" s="82">
        <f>H16-G16</f>
        <v>-40.303051470587889</v>
      </c>
      <c r="J16" s="43"/>
      <c r="K16" s="12"/>
      <c r="L16" s="12"/>
      <c r="M16" s="13"/>
      <c r="N16" s="342"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1453.8711733080329</v>
      </c>
      <c r="H18" s="53">
        <f t="shared" si="1"/>
        <v>1444.2516144845035</v>
      </c>
      <c r="I18" s="82">
        <f t="shared" si="2"/>
        <v>-9.6195588235293599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0.16</v>
      </c>
      <c r="F19" s="230">
        <v>0.05</v>
      </c>
      <c r="G19" s="80">
        <f t="shared" si="0"/>
        <v>551.90895003162552</v>
      </c>
      <c r="H19" s="53">
        <f t="shared" si="1"/>
        <v>554.09444022770401</v>
      </c>
      <c r="I19" s="82">
        <f t="shared" si="2"/>
        <v>2.18549019607849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6536.2948845667297</v>
      </c>
      <c r="H20" s="53">
        <f t="shared" si="1"/>
        <v>6480.1335855471225</v>
      </c>
      <c r="I20" s="82">
        <f t="shared" si="2"/>
        <v>-56.161299019607213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3.67</v>
      </c>
      <c r="F21" s="230">
        <v>3.33</v>
      </c>
      <c r="G21" s="80">
        <f t="shared" si="0"/>
        <v>18497.392959361161</v>
      </c>
      <c r="H21" s="53">
        <f t="shared" si="1"/>
        <v>18386.699099067046</v>
      </c>
      <c r="I21" s="82">
        <f t="shared" si="2"/>
        <v>-110.69386029411544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>
        <v>9845.4</v>
      </c>
      <c r="H22" s="53">
        <v>9995.43</v>
      </c>
      <c r="I22" s="82">
        <f t="shared" si="2"/>
        <v>150.03000000000065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1136.5970509171411</v>
      </c>
      <c r="H23" s="53">
        <f t="shared" si="1"/>
        <v>1129.1966832700823</v>
      </c>
      <c r="I23" s="82">
        <f t="shared" si="2"/>
        <v>-7.4003676470588289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4.8499999999999996</v>
      </c>
      <c r="F24" s="230">
        <v>4.8499999999999996</v>
      </c>
      <c r="G24" s="80">
        <v>11813.01</v>
      </c>
      <c r="H24" s="53">
        <v>2430</v>
      </c>
      <c r="I24" s="82">
        <f t="shared" si="2"/>
        <v>-9383.01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5706.5324913029726</v>
      </c>
      <c r="H25" s="53">
        <f t="shared" si="1"/>
        <v>5626.4953957147372</v>
      </c>
      <c r="I25" s="82">
        <f t="shared" si="2"/>
        <v>-80.037095588235388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2872.9765852308665</v>
      </c>
      <c r="H26" s="53">
        <f t="shared" si="1"/>
        <v>2821.0032886622394</v>
      </c>
      <c r="I26" s="82">
        <f t="shared" si="2"/>
        <v>-51.97329656862712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0.72</v>
      </c>
      <c r="F27" s="106">
        <v>0.79</v>
      </c>
      <c r="G27" s="107">
        <f t="shared" si="0"/>
        <v>3994.4792536369387</v>
      </c>
      <c r="H27" s="119">
        <f t="shared" si="1"/>
        <v>3962.6922928526251</v>
      </c>
      <c r="I27" s="109">
        <f t="shared" si="2"/>
        <v>-31.786960784313578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14.950000000000001</v>
      </c>
      <c r="F28" s="113">
        <f>SUM(F16:F27)</f>
        <v>16.150000000000002</v>
      </c>
      <c r="G28" s="114">
        <f>SUM(G16:G27)</f>
        <v>67856.209999999992</v>
      </c>
      <c r="H28" s="115">
        <f>SUM(H16:H27)</f>
        <v>58237.44000000001</v>
      </c>
      <c r="I28" s="116">
        <f>H28-G28</f>
        <v>-9618.7699999999822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2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67855.210000000006</v>
      </c>
      <c r="E32" s="296"/>
      <c r="F32" s="295">
        <f>21327.3+24869.5+9845.4</f>
        <v>56042.200000000004</v>
      </c>
      <c r="G32" s="296"/>
      <c r="H32" s="295">
        <f>G24</f>
        <v>11813.01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57509.939999999995</v>
      </c>
      <c r="E33" s="296"/>
      <c r="F33" s="295">
        <f>18061.07+21059.8+8385.67</f>
        <v>47506.539999999994</v>
      </c>
      <c r="G33" s="296"/>
      <c r="H33" s="295">
        <v>10003.4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58237.44000000001</v>
      </c>
      <c r="E34" s="315"/>
      <c r="F34" s="314">
        <f>H16+H17+H18+H19+H20+H21+H22+H23+H25+H26+H27</f>
        <v>55807.44000000001</v>
      </c>
      <c r="G34" s="315"/>
      <c r="H34" s="314">
        <f>H24</f>
        <v>2430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-727.50000000001637</v>
      </c>
      <c r="E35" s="318"/>
      <c r="F35" s="319">
        <f>F33-F34</f>
        <v>-8300.900000000016</v>
      </c>
      <c r="G35" s="320"/>
      <c r="H35" s="319">
        <f>H33-H34</f>
        <v>7573.4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C43" s="50"/>
      <c r="E43" s="285" t="s">
        <v>12</v>
      </c>
      <c r="F43" s="285"/>
    </row>
  </sheetData>
  <mergeCells count="46">
    <mergeCell ref="E43:F43"/>
    <mergeCell ref="G40:H40"/>
    <mergeCell ref="I40:J40"/>
    <mergeCell ref="E41:F41"/>
    <mergeCell ref="E42:F42"/>
    <mergeCell ref="G42:H42"/>
    <mergeCell ref="I42:J42"/>
    <mergeCell ref="E40:F40"/>
    <mergeCell ref="I37:J37"/>
    <mergeCell ref="E38:F38"/>
    <mergeCell ref="G38:H38"/>
    <mergeCell ref="I38:J38"/>
    <mergeCell ref="E39:F39"/>
    <mergeCell ref="G39:H39"/>
    <mergeCell ref="I39:J39"/>
    <mergeCell ref="D33:E33"/>
    <mergeCell ref="F33:G33"/>
    <mergeCell ref="H33:I33"/>
    <mergeCell ref="H34:I34"/>
    <mergeCell ref="H35:I35"/>
    <mergeCell ref="F34:G34"/>
    <mergeCell ref="F35:G35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36:F36"/>
    <mergeCell ref="G36:H36"/>
    <mergeCell ref="E37:F37"/>
    <mergeCell ref="G37:H37"/>
    <mergeCell ref="D34:E34"/>
    <mergeCell ref="D35:E35"/>
  </mergeCells>
  <printOptions horizontalCentered="1"/>
  <pageMargins left="0.19685039370078741" right="0.19685039370078741" top="0.19685039370078741" bottom="0.31496062992125984" header="0.19685039370078741" footer="0.31496062992125984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49" style="1" customWidth="1"/>
    <col min="3" max="3" width="12.7109375" style="3" customWidth="1"/>
    <col min="4" max="4" width="10" style="3" customWidth="1"/>
    <col min="5" max="5" width="10.85546875" style="3" customWidth="1"/>
    <col min="6" max="6" width="10.28515625" style="3" customWidth="1"/>
    <col min="7" max="7" width="9.42578125" style="1" customWidth="1"/>
    <col min="8" max="8" width="10.28515625" style="1" customWidth="1"/>
    <col min="9" max="9" width="11.28515625" style="1" customWidth="1"/>
    <col min="10" max="10" width="10.7109375" style="1" bestFit="1" customWidth="1"/>
    <col min="11" max="13" width="9.140625" style="1"/>
    <col min="14" max="14" width="12" style="339" customWidth="1"/>
    <col min="15" max="15" width="12.28515625" style="339" customWidth="1"/>
    <col min="16" max="16" width="13.42578125" style="339" customWidth="1"/>
    <col min="17" max="17" width="11.425781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5.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6.5" customHeight="1"/>
    <row r="5" spans="1:18">
      <c r="B5" s="1" t="s">
        <v>0</v>
      </c>
      <c r="D5" s="299" t="s">
        <v>154</v>
      </c>
      <c r="E5" s="299"/>
      <c r="F5" s="299"/>
    </row>
    <row r="6" spans="1:18">
      <c r="B6" s="1" t="s">
        <v>1</v>
      </c>
      <c r="D6" s="25">
        <v>1960</v>
      </c>
      <c r="E6" s="25"/>
      <c r="F6" s="25"/>
    </row>
    <row r="7" spans="1:18" hidden="1" outlineLevel="1">
      <c r="B7" s="1" t="s">
        <v>2</v>
      </c>
      <c r="D7" s="25">
        <v>2</v>
      </c>
      <c r="E7" s="25"/>
      <c r="F7" s="25"/>
    </row>
    <row r="8" spans="1:18" hidden="1" outlineLevel="1">
      <c r="B8" s="1" t="s">
        <v>3</v>
      </c>
      <c r="D8" s="25">
        <v>12</v>
      </c>
      <c r="E8" s="25"/>
      <c r="F8" s="25"/>
    </row>
    <row r="9" spans="1:18" ht="30.75" hidden="1" customHeight="1" outlineLevel="1">
      <c r="B9" s="2" t="s">
        <v>4</v>
      </c>
      <c r="C9" s="7"/>
      <c r="D9" s="25" t="s">
        <v>155</v>
      </c>
      <c r="E9" s="25"/>
      <c r="F9" s="25"/>
    </row>
    <row r="10" spans="1:18" collapsed="1">
      <c r="B10" s="1" t="s">
        <v>5</v>
      </c>
      <c r="D10" s="25" t="s">
        <v>156</v>
      </c>
      <c r="E10" s="25"/>
      <c r="F10" s="25"/>
      <c r="J10" s="10"/>
    </row>
    <row r="11" spans="1:18" hidden="1" outlineLevel="1">
      <c r="B11" s="1" t="s">
        <v>6</v>
      </c>
      <c r="D11" s="25" t="s">
        <v>157</v>
      </c>
      <c r="E11" s="25"/>
      <c r="F11" s="25"/>
    </row>
    <row r="12" spans="1:18" ht="30.75" hidden="1" customHeight="1" outlineLevel="1">
      <c r="B12" s="2" t="s">
        <v>7</v>
      </c>
      <c r="C12" s="7"/>
      <c r="D12" s="323" t="s">
        <v>158</v>
      </c>
      <c r="E12" s="323"/>
      <c r="F12" s="25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23258.31</v>
      </c>
      <c r="O15" s="341">
        <v>26161.5</v>
      </c>
      <c r="P15" s="341">
        <f>24372.93*0.95</f>
        <v>23154.283499999998</v>
      </c>
      <c r="Q15" s="341">
        <f>27254.26*0.95</f>
        <v>25891.546999999999</v>
      </c>
      <c r="R15" s="339">
        <f>(N15+O15)/(P15+Q15)*100</f>
        <v>100.76251028107272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6000.5856519828949</v>
      </c>
      <c r="H16" s="81">
        <f>($P$15/$P$16*E16)+($Q$15/$Q$16*F16)</f>
        <v>5955.9631782115866</v>
      </c>
      <c r="I16" s="82">
        <f>H16-G16</f>
        <v>-44.62247377130825</v>
      </c>
      <c r="J16" s="43"/>
      <c r="K16" s="12"/>
      <c r="L16" s="12"/>
      <c r="M16" s="13"/>
      <c r="N16" s="342">
        <v>7.94</v>
      </c>
      <c r="O16" s="341">
        <v>9.0299999999999994</v>
      </c>
      <c r="P16" s="342">
        <v>7.94</v>
      </c>
      <c r="Q16" s="341">
        <v>9.0299999999999994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1602.4298337196751</v>
      </c>
      <c r="H18" s="53">
        <f t="shared" si="1"/>
        <v>1590.6897085282476</v>
      </c>
      <c r="I18" s="82">
        <f t="shared" si="2"/>
        <v>-11.740125191427524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0.05</v>
      </c>
      <c r="F19" s="230">
        <v>0.04</v>
      </c>
      <c r="G19" s="80">
        <f t="shared" si="0"/>
        <v>262.34995250926801</v>
      </c>
      <c r="H19" s="53">
        <f t="shared" si="1"/>
        <v>260.49906869977207</v>
      </c>
      <c r="I19" s="82">
        <f t="shared" si="2"/>
        <v>-1.8508838094959401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7192.5985185402151</v>
      </c>
      <c r="H20" s="53">
        <f t="shared" si="1"/>
        <v>7137.9022044500416</v>
      </c>
      <c r="I20" s="82">
        <f t="shared" si="2"/>
        <v>-54.696314090173473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3.67</v>
      </c>
      <c r="F21" s="230">
        <v>3.33</v>
      </c>
      <c r="G21" s="80">
        <f t="shared" si="0"/>
        <v>20397.973889595552</v>
      </c>
      <c r="H21" s="53">
        <f t="shared" si="1"/>
        <v>20250.340337801365</v>
      </c>
      <c r="I21" s="82">
        <f t="shared" si="2"/>
        <v>-147.63355179418795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>
        <v>11095.08</v>
      </c>
      <c r="H22" s="53">
        <v>11264.21</v>
      </c>
      <c r="I22" s="82">
        <f t="shared" si="2"/>
        <v>169.1299999999992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1252.8437777517429</v>
      </c>
      <c r="H23" s="53">
        <f t="shared" si="1"/>
        <v>1243.6834546599496</v>
      </c>
      <c r="I23" s="82">
        <f t="shared" si="2"/>
        <v>-9.1603230917933161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2.91</v>
      </c>
      <c r="F24" s="230">
        <v>3</v>
      </c>
      <c r="G24" s="80">
        <v>17311.91</v>
      </c>
      <c r="H24" s="53">
        <v>26434</v>
      </c>
      <c r="I24" s="82">
        <f t="shared" si="2"/>
        <v>9122.09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6251.7068671598445</v>
      </c>
      <c r="H25" s="53">
        <f t="shared" si="1"/>
        <v>6199.3557660129536</v>
      </c>
      <c r="I25" s="82">
        <f t="shared" si="2"/>
        <v>-52.351101146890869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3136.9706927788984</v>
      </c>
      <c r="H26" s="53">
        <f t="shared" si="1"/>
        <v>3108.8823434988603</v>
      </c>
      <c r="I26" s="82">
        <f t="shared" si="2"/>
        <v>-28.088349280038074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0.61</v>
      </c>
      <c r="F27" s="106">
        <v>0.53</v>
      </c>
      <c r="G27" s="107">
        <f t="shared" si="0"/>
        <v>3322.3508159619073</v>
      </c>
      <c r="H27" s="119">
        <f t="shared" si="1"/>
        <v>3298.5144381372193</v>
      </c>
      <c r="I27" s="109">
        <f t="shared" si="2"/>
        <v>-23.836377824688043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12.79</v>
      </c>
      <c r="F28" s="113">
        <f>SUM(F16:F27)</f>
        <v>14.03</v>
      </c>
      <c r="G28" s="114">
        <f>SUM(G16:G27)</f>
        <v>77826.799999999988</v>
      </c>
      <c r="H28" s="115">
        <f>SUM(H16:H27)</f>
        <v>86744.040500000003</v>
      </c>
      <c r="I28" s="116">
        <f>H28-G28</f>
        <v>8917.2405000000144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8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77826.8</v>
      </c>
      <c r="E32" s="296"/>
      <c r="F32" s="295">
        <f>23258.31+26161.5+11095.08</f>
        <v>60514.89</v>
      </c>
      <c r="G32" s="296"/>
      <c r="H32" s="295">
        <f>G24</f>
        <v>17311.91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72645.649999999994</v>
      </c>
      <c r="E33" s="296"/>
      <c r="F33" s="295">
        <f>21840.76+24567+9981.1</f>
        <v>56388.859999999993</v>
      </c>
      <c r="G33" s="296"/>
      <c r="H33" s="295">
        <v>16256.79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86744.040499999988</v>
      </c>
      <c r="E34" s="315"/>
      <c r="F34" s="314">
        <f>H16+H17+H18+H19+H20+H21+H22+H23+H25+H26+H27</f>
        <v>60310.040499999988</v>
      </c>
      <c r="G34" s="315"/>
      <c r="H34" s="314">
        <f>H24</f>
        <v>26434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-14098.390499999994</v>
      </c>
      <c r="E35" s="318"/>
      <c r="F35" s="319">
        <f>F33-F34</f>
        <v>-3921.1804999999949</v>
      </c>
      <c r="G35" s="320"/>
      <c r="H35" s="319">
        <f>H33-H34</f>
        <v>-10177.209999999999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C43" s="50"/>
      <c r="E43" s="285" t="s">
        <v>12</v>
      </c>
      <c r="F43" s="285"/>
    </row>
  </sheetData>
  <mergeCells count="46">
    <mergeCell ref="I40:J40"/>
    <mergeCell ref="E41:F41"/>
    <mergeCell ref="E42:F42"/>
    <mergeCell ref="G42:H42"/>
    <mergeCell ref="I42:J42"/>
    <mergeCell ref="I37:J37"/>
    <mergeCell ref="E38:F38"/>
    <mergeCell ref="G38:H38"/>
    <mergeCell ref="I38:J38"/>
    <mergeCell ref="E39:F39"/>
    <mergeCell ref="G39:H39"/>
    <mergeCell ref="I39:J39"/>
    <mergeCell ref="D35:E35"/>
    <mergeCell ref="F35:G35"/>
    <mergeCell ref="H35:I35"/>
    <mergeCell ref="E36:F36"/>
    <mergeCell ref="G36:H36"/>
    <mergeCell ref="F34:G34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H34:I34"/>
    <mergeCell ref="E43:F43"/>
    <mergeCell ref="B30:I30"/>
    <mergeCell ref="E37:F37"/>
    <mergeCell ref="G37:H37"/>
    <mergeCell ref="E40:F40"/>
    <mergeCell ref="G40:H4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42578125" style="1" customWidth="1"/>
    <col min="3" max="3" width="12.7109375" style="3" customWidth="1"/>
    <col min="4" max="4" width="10.140625" style="3" customWidth="1"/>
    <col min="5" max="5" width="10.5703125" style="3" customWidth="1"/>
    <col min="6" max="6" width="10.28515625" style="3" customWidth="1"/>
    <col min="7" max="7" width="8.42578125" style="1" customWidth="1"/>
    <col min="8" max="8" width="10.42578125" style="1" customWidth="1"/>
    <col min="9" max="9" width="11.5703125" style="1" customWidth="1"/>
    <col min="10" max="10" width="10.7109375" style="1" bestFit="1" customWidth="1"/>
    <col min="11" max="13" width="9.140625" style="1"/>
    <col min="14" max="14" width="15" style="339" customWidth="1"/>
    <col min="15" max="15" width="13.28515625" style="339" customWidth="1"/>
    <col min="16" max="16" width="11.42578125" style="339" customWidth="1"/>
    <col min="17" max="17" width="13.28515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0.2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6.5" customHeight="1">
      <c r="A4" s="122"/>
      <c r="B4" s="122"/>
      <c r="C4" s="122"/>
      <c r="D4" s="122"/>
      <c r="E4" s="122"/>
      <c r="F4" s="122"/>
      <c r="G4" s="122"/>
      <c r="H4" s="122"/>
    </row>
    <row r="5" spans="1:18" s="39" customFormat="1" ht="17.25" customHeight="1">
      <c r="B5" s="1" t="s">
        <v>0</v>
      </c>
      <c r="C5" s="3"/>
      <c r="D5" s="299" t="s">
        <v>160</v>
      </c>
      <c r="E5" s="299"/>
      <c r="F5" s="299"/>
      <c r="N5" s="353"/>
      <c r="O5" s="353"/>
      <c r="P5" s="353"/>
      <c r="Q5" s="353"/>
      <c r="R5" s="353"/>
    </row>
    <row r="6" spans="1:18">
      <c r="B6" s="1" t="s">
        <v>1</v>
      </c>
      <c r="D6" s="26">
        <v>1957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8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161</v>
      </c>
      <c r="E9" s="26"/>
      <c r="F9" s="26"/>
    </row>
    <row r="10" spans="1:18" collapsed="1">
      <c r="B10" s="1" t="s">
        <v>5</v>
      </c>
      <c r="D10" s="26" t="s">
        <v>162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163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22729.74</v>
      </c>
      <c r="O15" s="341">
        <v>25626.66</v>
      </c>
      <c r="P15" s="341">
        <v>21693.58</v>
      </c>
      <c r="Q15" s="341">
        <v>24258.17</v>
      </c>
      <c r="R15" s="339">
        <f>(N15+O15)/(P15+Q15)*100</f>
        <v>105.23298895036642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5706.6950071157498</v>
      </c>
      <c r="H16" s="81">
        <f>($P$15/$P$16*E16)+($Q$15/$Q$16*F16)</f>
        <v>5423.9378755534472</v>
      </c>
      <c r="I16" s="82">
        <f>H16-G16</f>
        <v>-282.75713156230267</v>
      </c>
      <c r="J16" s="43"/>
      <c r="K16" s="12"/>
      <c r="L16" s="12"/>
      <c r="M16" s="13"/>
      <c r="N16" s="342"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1523.9418652751424</v>
      </c>
      <c r="H18" s="53">
        <f t="shared" si="1"/>
        <v>1448.657000632511</v>
      </c>
      <c r="I18" s="82">
        <f t="shared" si="2"/>
        <v>-75.284864642631419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0.04</v>
      </c>
      <c r="F19" s="230">
        <v>0.02</v>
      </c>
      <c r="G19" s="80">
        <f t="shared" si="0"/>
        <v>166.5313908918406</v>
      </c>
      <c r="H19" s="53">
        <f t="shared" si="1"/>
        <v>158.50918595825425</v>
      </c>
      <c r="I19" s="82">
        <f t="shared" si="2"/>
        <v>-8.0222049335863517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6840.3663178368115</v>
      </c>
      <c r="H20" s="53">
        <f t="shared" si="1"/>
        <v>6499.8998858317518</v>
      </c>
      <c r="I20" s="82">
        <f t="shared" si="2"/>
        <v>-340.46643200505969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3.67</v>
      </c>
      <c r="F21" s="230">
        <v>3.33</v>
      </c>
      <c r="G21" s="80">
        <f t="shared" si="0"/>
        <v>19398.809598197346</v>
      </c>
      <c r="H21" s="53">
        <f t="shared" si="1"/>
        <v>18442.783849304236</v>
      </c>
      <c r="I21" s="82">
        <f t="shared" si="2"/>
        <v>-956.02574889310927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/>
      <c r="H22" s="53">
        <v>9875.4</v>
      </c>
      <c r="I22" s="82">
        <f t="shared" si="2"/>
        <v>9875.4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1191.478133776091</v>
      </c>
      <c r="H23" s="53">
        <f t="shared" si="1"/>
        <v>1132.6410604048069</v>
      </c>
      <c r="I23" s="82">
        <f t="shared" si="2"/>
        <v>-58.837073371284077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4.8499999999999996</v>
      </c>
      <c r="F24" s="230">
        <v>0</v>
      </c>
      <c r="G24" s="80">
        <v>13509.71</v>
      </c>
      <c r="H24" s="53">
        <v>816</v>
      </c>
      <c r="I24" s="82">
        <f t="shared" si="2"/>
        <v>-12693.71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5945.7091883301709</v>
      </c>
      <c r="H25" s="53">
        <f t="shared" si="1"/>
        <v>5643.6578840923466</v>
      </c>
      <c r="I25" s="82">
        <f t="shared" si="2"/>
        <v>-302.0513042378243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2983.4873543643262</v>
      </c>
      <c r="H26" s="53">
        <f t="shared" si="1"/>
        <v>2829.6082025616697</v>
      </c>
      <c r="I26" s="82">
        <f t="shared" si="2"/>
        <v>-153.87915180265645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0.84</v>
      </c>
      <c r="F27" s="106">
        <v>0.82</v>
      </c>
      <c r="G27" s="107">
        <f t="shared" si="0"/>
        <v>4599.3811442125234</v>
      </c>
      <c r="H27" s="119">
        <f t="shared" si="1"/>
        <v>4372.0550556609742</v>
      </c>
      <c r="I27" s="109">
        <f t="shared" si="2"/>
        <v>-227.32608855154922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</v>
      </c>
      <c r="F28" s="113">
        <f>SUM(F16:F27)</f>
        <v>11.3</v>
      </c>
      <c r="G28" s="114">
        <f>SUM(G16:G27)</f>
        <v>61866.11</v>
      </c>
      <c r="H28" s="115">
        <f>SUM(H16:H27)</f>
        <v>56643.15</v>
      </c>
      <c r="I28" s="116">
        <f>H28-G28</f>
        <v>-5222.9599999999991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2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71741.510000000009</v>
      </c>
      <c r="E32" s="296"/>
      <c r="F32" s="295">
        <f>22729.74+25626.66+9875.4</f>
        <v>58231.8</v>
      </c>
      <c r="G32" s="296"/>
      <c r="H32" s="295">
        <f>G24</f>
        <v>13509.71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59238.52</v>
      </c>
      <c r="E33" s="296"/>
      <c r="F33" s="295">
        <f>19178.18+21622.46+7039.09</f>
        <v>47839.729999999996</v>
      </c>
      <c r="G33" s="296"/>
      <c r="H33" s="295">
        <v>11398.79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56643.15</v>
      </c>
      <c r="E34" s="315"/>
      <c r="F34" s="314">
        <f>H16+H17+H18+H19+H20+H21+H22+H23+H25+H26+H27</f>
        <v>55827.15</v>
      </c>
      <c r="G34" s="315"/>
      <c r="H34" s="314">
        <f>H24</f>
        <v>816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2595.3699999999953</v>
      </c>
      <c r="E35" s="318"/>
      <c r="F35" s="319">
        <f>F33-F34</f>
        <v>-7987.4200000000055</v>
      </c>
      <c r="G35" s="320"/>
      <c r="H35" s="319">
        <f>H33-H34</f>
        <v>10582.79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1.25" customHeight="1">
      <c r="C43" s="50"/>
      <c r="E43" s="285" t="s">
        <v>12</v>
      </c>
      <c r="F43" s="285"/>
    </row>
  </sheetData>
  <mergeCells count="46">
    <mergeCell ref="E40:F40"/>
    <mergeCell ref="G40:H40"/>
    <mergeCell ref="I40:J40"/>
    <mergeCell ref="E41:F41"/>
    <mergeCell ref="E42:F42"/>
    <mergeCell ref="G42:H42"/>
    <mergeCell ref="I42:J42"/>
    <mergeCell ref="E38:F38"/>
    <mergeCell ref="G38:H38"/>
    <mergeCell ref="I38:J38"/>
    <mergeCell ref="E39:F39"/>
    <mergeCell ref="G39:H39"/>
    <mergeCell ref="I39:J39"/>
    <mergeCell ref="G36:H36"/>
    <mergeCell ref="E37:F37"/>
    <mergeCell ref="G37:H37"/>
    <mergeCell ref="I37:J37"/>
    <mergeCell ref="D35:E35"/>
    <mergeCell ref="F35:G35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43:F43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H35:I35"/>
    <mergeCell ref="E36:F36"/>
  </mergeCells>
  <printOptions horizontalCentered="1"/>
  <pageMargins left="0.19685039370078741" right="0.23622047244094491" top="0.15748031496062992" bottom="0.23622047244094491" header="0.31496062992125984" footer="0.23622047244094491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0.28515625" style="1" customWidth="1"/>
    <col min="3" max="3" width="12.7109375" style="3" customWidth="1"/>
    <col min="4" max="4" width="9.140625" style="3" customWidth="1"/>
    <col min="5" max="5" width="10" style="3" customWidth="1"/>
    <col min="6" max="6" width="10.28515625" style="3" customWidth="1"/>
    <col min="7" max="7" width="9.140625" style="1" customWidth="1"/>
    <col min="8" max="8" width="10.42578125" style="1" customWidth="1"/>
    <col min="9" max="9" width="11.140625" style="1" customWidth="1"/>
    <col min="10" max="10" width="10.7109375" style="1" bestFit="1" customWidth="1"/>
    <col min="11" max="13" width="9.140625" style="1"/>
    <col min="14" max="14" width="12.7109375" style="339" customWidth="1"/>
    <col min="15" max="16" width="13.42578125" style="339" customWidth="1"/>
    <col min="17" max="17" width="15.2851562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0.2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8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164</v>
      </c>
      <c r="E5" s="299"/>
      <c r="F5" s="299"/>
    </row>
    <row r="6" spans="1:18">
      <c r="B6" s="1" t="s">
        <v>1</v>
      </c>
      <c r="D6" s="26">
        <v>1961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15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165</v>
      </c>
      <c r="E9" s="26"/>
      <c r="F9" s="26"/>
    </row>
    <row r="10" spans="1:18" collapsed="1">
      <c r="B10" s="1" t="s">
        <v>5</v>
      </c>
      <c r="D10" s="26" t="s">
        <v>166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167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26301.02</v>
      </c>
      <c r="O15" s="341">
        <v>30006.74</v>
      </c>
      <c r="P15" s="341">
        <f>29203.88*0.9</f>
        <v>26283.492000000002</v>
      </c>
      <c r="Q15" s="341">
        <f>32656.32*0.91</f>
        <v>29717.251200000002</v>
      </c>
      <c r="R15" s="339">
        <f>(N15+O15)/(P15+Q15)*100</f>
        <v>100.54823700982595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7315.958174872123</v>
      </c>
      <c r="H16" s="81">
        <f>($P$15/$P$16*E16)+($Q$15/$Q$16*F16)</f>
        <v>7277.792456739131</v>
      </c>
      <c r="I16" s="82">
        <f>H16-G16</f>
        <v>-38.165718132991969</v>
      </c>
      <c r="J16" s="43"/>
      <c r="K16" s="12"/>
      <c r="L16" s="12"/>
      <c r="M16" s="13"/>
      <c r="N16" s="342">
        <v>7.36</v>
      </c>
      <c r="O16" s="341">
        <v>8.5</v>
      </c>
      <c r="P16" s="342">
        <v>7.36</v>
      </c>
      <c r="Q16" s="341">
        <v>8.5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1953.7375531969312</v>
      </c>
      <c r="H18" s="53">
        <f t="shared" si="1"/>
        <v>1943.8752005217393</v>
      </c>
      <c r="I18" s="82">
        <f t="shared" si="2"/>
        <v>-9.8623526751919144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0.05</v>
      </c>
      <c r="F19" s="230">
        <v>0.03</v>
      </c>
      <c r="G19" s="80">
        <f t="shared" si="0"/>
        <v>284.58154878516626</v>
      </c>
      <c r="H19" s="53">
        <f t="shared" si="1"/>
        <v>283.44074752173913</v>
      </c>
      <c r="I19" s="82">
        <f t="shared" si="2"/>
        <v>-1.1408012634271358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8768.9715523017912</v>
      </c>
      <c r="H20" s="53">
        <f t="shared" si="1"/>
        <v>8720.9601346956533</v>
      </c>
      <c r="I20" s="82">
        <f t="shared" si="2"/>
        <v>-48.011417606137911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3.65</v>
      </c>
      <c r="F21" s="230">
        <v>3.33</v>
      </c>
      <c r="G21" s="80">
        <f t="shared" si="0"/>
        <v>24798.886426023018</v>
      </c>
      <c r="H21" s="53">
        <f t="shared" si="1"/>
        <v>24676.782377086958</v>
      </c>
      <c r="I21" s="82">
        <f t="shared" si="2"/>
        <v>-122.10404893606028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>
        <v>13319.76</v>
      </c>
      <c r="H22" s="53">
        <v>13496.88</v>
      </c>
      <c r="I22" s="82">
        <f t="shared" si="2"/>
        <v>177.11999999999898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1527.5147817135548</v>
      </c>
      <c r="H23" s="53">
        <f t="shared" si="1"/>
        <v>1519.8387706956523</v>
      </c>
      <c r="I23" s="82">
        <f t="shared" si="2"/>
        <v>-7.6760110179025105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4</v>
      </c>
      <c r="F24" s="230">
        <v>4</v>
      </c>
      <c r="G24" s="80">
        <v>28588.06</v>
      </c>
      <c r="H24" s="53">
        <v>29094</v>
      </c>
      <c r="I24" s="82">
        <f t="shared" si="2"/>
        <v>505.93999999999869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7620.6855645140668</v>
      </c>
      <c r="H25" s="53">
        <f t="shared" si="1"/>
        <v>7569.9518756086964</v>
      </c>
      <c r="I25" s="82">
        <f t="shared" si="2"/>
        <v>-50.7336889053704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3823.446943925831</v>
      </c>
      <c r="H26" s="53">
        <f t="shared" si="1"/>
        <v>3794.5838336086958</v>
      </c>
      <c r="I26" s="82">
        <f t="shared" si="2"/>
        <v>-28.863110317135124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0.05</v>
      </c>
      <c r="F27" s="106">
        <v>0.01</v>
      </c>
      <c r="G27" s="107">
        <f t="shared" si="0"/>
        <v>213.97745466751917</v>
      </c>
      <c r="H27" s="119">
        <f t="shared" si="1"/>
        <v>213.51780352173915</v>
      </c>
      <c r="I27" s="109">
        <f t="shared" si="2"/>
        <v>-0.45965114578001476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13.3</v>
      </c>
      <c r="F28" s="113">
        <f>SUM(F16:F27)</f>
        <v>14.5</v>
      </c>
      <c r="G28" s="114">
        <f>SUM(G16:G27)</f>
        <v>98215.579999999987</v>
      </c>
      <c r="H28" s="115">
        <f>SUM(H16:H27)</f>
        <v>98591.623199999987</v>
      </c>
      <c r="I28" s="116">
        <f>H28-G28</f>
        <v>376.04320000000007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39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98215.58</v>
      </c>
      <c r="E32" s="296"/>
      <c r="F32" s="295">
        <f>26301.02+30006.74+13319.76</f>
        <v>69627.520000000004</v>
      </c>
      <c r="G32" s="296"/>
      <c r="H32" s="295">
        <f>G24</f>
        <v>28588.06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81520.61</v>
      </c>
      <c r="E33" s="296"/>
      <c r="F33" s="295">
        <f>21831.56+24907.56+11051.53</f>
        <v>57790.65</v>
      </c>
      <c r="G33" s="296"/>
      <c r="H33" s="295">
        <f>23729.96</f>
        <v>23729.96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98591.623200000002</v>
      </c>
      <c r="E34" s="315"/>
      <c r="F34" s="314">
        <f>H16+H17+H18+H19+H20+H21+H22+H23+H25+H26+H27</f>
        <v>69497.623200000002</v>
      </c>
      <c r="G34" s="315"/>
      <c r="H34" s="314">
        <f>H24</f>
        <v>29094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-17071.013200000001</v>
      </c>
      <c r="E35" s="318"/>
      <c r="F35" s="319">
        <f>F33-F34</f>
        <v>-11706.9732</v>
      </c>
      <c r="G35" s="320"/>
      <c r="H35" s="319">
        <f>H33-H34</f>
        <v>-5364.0400000000009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C43" s="50"/>
      <c r="E43" s="285" t="s">
        <v>12</v>
      </c>
      <c r="F43" s="285"/>
    </row>
  </sheetData>
  <mergeCells count="46">
    <mergeCell ref="I42:J42"/>
    <mergeCell ref="I38:J38"/>
    <mergeCell ref="E39:F39"/>
    <mergeCell ref="G39:H39"/>
    <mergeCell ref="I39:J39"/>
    <mergeCell ref="E40:F40"/>
    <mergeCell ref="G40:H40"/>
    <mergeCell ref="I40:J40"/>
    <mergeCell ref="E38:F38"/>
    <mergeCell ref="G38:H38"/>
    <mergeCell ref="E41:F41"/>
    <mergeCell ref="E42:F42"/>
    <mergeCell ref="G42:H42"/>
    <mergeCell ref="G36:H36"/>
    <mergeCell ref="E37:F37"/>
    <mergeCell ref="G37:H37"/>
    <mergeCell ref="I37:J37"/>
    <mergeCell ref="D35:E35"/>
    <mergeCell ref="F35:G35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43:F43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H35:I35"/>
    <mergeCell ref="E36:F36"/>
  </mergeCells>
  <printOptions horizontalCentered="1"/>
  <pageMargins left="0.19685039370078741" right="0.19685039370078741" top="0.31496062992125984" bottom="0.31496062992125984" header="0.31496062992125984" footer="0.31496062992125984"/>
  <pageSetup paperSize="9" scale="4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85546875" style="1" customWidth="1"/>
    <col min="3" max="3" width="12" style="3" customWidth="1"/>
    <col min="4" max="4" width="8.85546875" style="3" customWidth="1"/>
    <col min="5" max="5" width="9.7109375" style="3" customWidth="1"/>
    <col min="6" max="6" width="10.28515625" style="3" customWidth="1"/>
    <col min="7" max="7" width="9.42578125" style="1" customWidth="1"/>
    <col min="8" max="8" width="10.28515625" style="1" customWidth="1"/>
    <col min="9" max="9" width="11.42578125" style="1" customWidth="1"/>
    <col min="10" max="10" width="10.7109375" style="1" bestFit="1" customWidth="1"/>
    <col min="11" max="13" width="9.140625" style="1"/>
    <col min="14" max="14" width="11.85546875" style="339" customWidth="1"/>
    <col min="15" max="16" width="12.85546875" style="339" customWidth="1"/>
    <col min="17" max="17" width="13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3.2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4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168</v>
      </c>
      <c r="E5" s="299"/>
      <c r="F5" s="299"/>
    </row>
    <row r="6" spans="1:18">
      <c r="B6" s="1" t="s">
        <v>1</v>
      </c>
      <c r="D6" s="26">
        <v>1957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8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169</v>
      </c>
      <c r="E9" s="26"/>
      <c r="F9" s="26"/>
    </row>
    <row r="10" spans="1:18" collapsed="1">
      <c r="B10" s="1" t="s">
        <v>5</v>
      </c>
      <c r="D10" s="26" t="s">
        <v>170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171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22154.92</v>
      </c>
      <c r="O15" s="341">
        <v>24978.58</v>
      </c>
      <c r="P15" s="341">
        <v>21749.4</v>
      </c>
      <c r="Q15" s="341">
        <v>24320.59</v>
      </c>
      <c r="R15" s="339">
        <f>(N15+O15)/(P15+Q15)*100</f>
        <v>102.30846587984932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5646.7004092567258</v>
      </c>
      <c r="H16" s="81">
        <f>($P$15/$P$16*E16)+($Q$15/$Q$16*F16)</f>
        <v>5519.9969049247611</v>
      </c>
      <c r="I16" s="82">
        <f>H16-G16</f>
        <v>-126.70350433196472</v>
      </c>
      <c r="J16" s="43"/>
      <c r="K16" s="12"/>
      <c r="L16" s="12"/>
      <c r="M16" s="13"/>
      <c r="N16" s="342">
        <v>8.16</v>
      </c>
      <c r="O16" s="341">
        <v>9.0299999999999994</v>
      </c>
      <c r="P16" s="342">
        <v>8.16</v>
      </c>
      <c r="Q16" s="341">
        <v>9.0299999999999994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1507.0856836688165</v>
      </c>
      <c r="H18" s="53">
        <f t="shared" si="1"/>
        <v>1473.4966621067035</v>
      </c>
      <c r="I18" s="82">
        <f t="shared" si="2"/>
        <v>-33.589021562112976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0.03</v>
      </c>
      <c r="F19" s="230">
        <v>0.02</v>
      </c>
      <c r="G19" s="80">
        <f t="shared" si="0"/>
        <v>136.7754555077845</v>
      </c>
      <c r="H19" s="53">
        <f t="shared" si="1"/>
        <v>133.82723096215233</v>
      </c>
      <c r="I19" s="82">
        <f t="shared" si="2"/>
        <v>-2.9482245456321721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6774.1883059735519</v>
      </c>
      <c r="H20" s="53">
        <f t="shared" si="1"/>
        <v>6620.6215207478344</v>
      </c>
      <c r="I20" s="82">
        <f t="shared" si="2"/>
        <v>-153.56678522571747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3.67</v>
      </c>
      <c r="F21" s="230">
        <v>3.33</v>
      </c>
      <c r="G21" s="80">
        <f t="shared" si="0"/>
        <v>19175.653905771611</v>
      </c>
      <c r="H21" s="53">
        <f t="shared" si="1"/>
        <v>18750.62182284542</v>
      </c>
      <c r="I21" s="82">
        <f t="shared" si="2"/>
        <v>-425.03208292619092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>
        <v>9900.7800000000007</v>
      </c>
      <c r="H22" s="53">
        <v>10051.719999999999</v>
      </c>
      <c r="I22" s="82">
        <f t="shared" si="2"/>
        <v>150.93999999999869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1178.2112289101688</v>
      </c>
      <c r="H23" s="53">
        <f t="shared" si="1"/>
        <v>1151.9759986320109</v>
      </c>
      <c r="I23" s="82">
        <f t="shared" si="2"/>
        <v>-26.235230278157815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4.8499999999999996</v>
      </c>
      <c r="F24" s="230">
        <v>0</v>
      </c>
      <c r="G24" s="80">
        <v>13168.06</v>
      </c>
      <c r="H24" s="53">
        <v>332</v>
      </c>
      <c r="I24" s="82">
        <f t="shared" si="2"/>
        <v>-12836.06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5910.9903945997003</v>
      </c>
      <c r="H25" s="53">
        <f t="shared" si="1"/>
        <v>5770.7775410396725</v>
      </c>
      <c r="I25" s="82">
        <f t="shared" si="2"/>
        <v>-140.21285356002772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2974.6929967103124</v>
      </c>
      <c r="H26" s="53">
        <f t="shared" si="1"/>
        <v>2901.7892761057915</v>
      </c>
      <c r="I26" s="82">
        <f t="shared" si="2"/>
        <v>-72.903720604520913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0.85</v>
      </c>
      <c r="F27" s="106">
        <v>0.82</v>
      </c>
      <c r="G27" s="107">
        <f t="shared" si="0"/>
        <v>4576.0694601328905</v>
      </c>
      <c r="H27" s="119">
        <f t="shared" si="1"/>
        <v>4474.0767635658922</v>
      </c>
      <c r="I27" s="109">
        <f t="shared" si="2"/>
        <v>-101.99269656699835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14.950000000000001</v>
      </c>
      <c r="F28" s="113">
        <f>SUM(F16:F27)</f>
        <v>11.3</v>
      </c>
      <c r="G28" s="114">
        <f>SUM(G16:G27)</f>
        <v>70949.207840531555</v>
      </c>
      <c r="H28" s="115">
        <f>SUM(H16:H27)</f>
        <v>57180.903720930233</v>
      </c>
      <c r="I28" s="116">
        <f>H28-G28</f>
        <v>-13768.304119601322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1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70202.34</v>
      </c>
      <c r="E32" s="296"/>
      <c r="F32" s="295">
        <f>22154.92+24978.58+9900.78</f>
        <v>57034.28</v>
      </c>
      <c r="G32" s="296"/>
      <c r="H32" s="295">
        <f>G24</f>
        <v>13168.06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54940.729999999996</v>
      </c>
      <c r="E33" s="296"/>
      <c r="F33" s="295">
        <f>17439.55+19662.24+7473.52</f>
        <v>44575.31</v>
      </c>
      <c r="G33" s="296"/>
      <c r="H33" s="295">
        <f>10365.42</f>
        <v>10365.42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57180.903720930233</v>
      </c>
      <c r="E34" s="315"/>
      <c r="F34" s="314">
        <f>H16+H17+H18+H19+H20+H21+H22+H23+H25+H26+H27</f>
        <v>56848.903720930233</v>
      </c>
      <c r="G34" s="315"/>
      <c r="H34" s="314">
        <f>H24</f>
        <v>332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-2240.1737209302355</v>
      </c>
      <c r="E35" s="318"/>
      <c r="F35" s="319">
        <f>F33-F34</f>
        <v>-12273.593720930236</v>
      </c>
      <c r="G35" s="320"/>
      <c r="H35" s="319">
        <f>H33-H34</f>
        <v>10033.42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C43" s="50"/>
      <c r="E43" s="285" t="s">
        <v>12</v>
      </c>
      <c r="F43" s="285"/>
    </row>
  </sheetData>
  <mergeCells count="46">
    <mergeCell ref="I40:J40"/>
    <mergeCell ref="E41:F41"/>
    <mergeCell ref="E42:F42"/>
    <mergeCell ref="G42:H42"/>
    <mergeCell ref="I42:J42"/>
    <mergeCell ref="E40:F40"/>
    <mergeCell ref="G40:H40"/>
    <mergeCell ref="G38:H38"/>
    <mergeCell ref="I38:J38"/>
    <mergeCell ref="E39:F39"/>
    <mergeCell ref="G39:H39"/>
    <mergeCell ref="I39:J39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E43:F43"/>
    <mergeCell ref="D33:E33"/>
    <mergeCell ref="F33:G33"/>
    <mergeCell ref="H33:I33"/>
    <mergeCell ref="E37:F37"/>
    <mergeCell ref="G37:H37"/>
    <mergeCell ref="D34:E34"/>
    <mergeCell ref="F34:G34"/>
    <mergeCell ref="H34:I34"/>
    <mergeCell ref="H35:I35"/>
    <mergeCell ref="E36:F36"/>
    <mergeCell ref="G36:H36"/>
    <mergeCell ref="D35:E35"/>
    <mergeCell ref="F35:G35"/>
    <mergeCell ref="I37:J37"/>
    <mergeCell ref="E38:F38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7109375" style="1" customWidth="1"/>
    <col min="3" max="3" width="12.7109375" style="3" customWidth="1"/>
    <col min="4" max="4" width="10.140625" style="3" customWidth="1"/>
    <col min="5" max="5" width="10.85546875" style="3" customWidth="1"/>
    <col min="6" max="6" width="10.28515625" style="3" customWidth="1"/>
    <col min="7" max="7" width="8.7109375" style="1" customWidth="1"/>
    <col min="8" max="8" width="10.42578125" style="1" customWidth="1"/>
    <col min="9" max="9" width="11.7109375" style="1" customWidth="1"/>
    <col min="10" max="10" width="10.7109375" style="1" bestFit="1" customWidth="1"/>
    <col min="11" max="13" width="9.140625" style="1"/>
    <col min="14" max="14" width="14" style="339" customWidth="1"/>
    <col min="15" max="16" width="11.85546875" style="339" customWidth="1"/>
    <col min="17" max="17" width="12.8554687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4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172</v>
      </c>
      <c r="E5" s="299"/>
      <c r="F5" s="299"/>
    </row>
    <row r="6" spans="1:18">
      <c r="B6" s="1" t="s">
        <v>1</v>
      </c>
      <c r="D6" s="26">
        <v>1960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7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173</v>
      </c>
      <c r="E9" s="26"/>
      <c r="F9" s="26"/>
    </row>
    <row r="10" spans="1:18" collapsed="1">
      <c r="B10" s="1" t="s">
        <v>5</v>
      </c>
      <c r="D10" s="26" t="s">
        <v>174</v>
      </c>
      <c r="E10" s="26"/>
      <c r="F10" s="26"/>
      <c r="J10" s="10"/>
    </row>
    <row r="11" spans="1:18" hidden="1" outlineLevel="1">
      <c r="B11" s="1" t="s">
        <v>6</v>
      </c>
      <c r="D11" s="26" t="s">
        <v>138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178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15716.68</v>
      </c>
      <c r="O15" s="341">
        <v>17712.09</v>
      </c>
      <c r="P15" s="341">
        <f>16025.34*0.98</f>
        <v>15704.833199999999</v>
      </c>
      <c r="Q15" s="341">
        <f>17919.83*0.98</f>
        <v>17561.433400000002</v>
      </c>
      <c r="R15" s="339">
        <f>(N15+O15)/(P15+Q15)*100</f>
        <v>100.48849304899157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3945.0764595192913</v>
      </c>
      <c r="H16" s="81">
        <f>($P$15/$P$16*E16)+($Q$15/$Q$16*F16)</f>
        <v>3926.6005115275143</v>
      </c>
      <c r="I16" s="82">
        <f>H16-G16</f>
        <v>-18.475947991777048</v>
      </c>
      <c r="J16" s="43"/>
      <c r="K16" s="12"/>
      <c r="L16" s="12"/>
      <c r="M16" s="13"/>
      <c r="N16" s="342"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1053.5198108791906</v>
      </c>
      <c r="H18" s="53">
        <f t="shared" si="1"/>
        <v>1048.7394017457304</v>
      </c>
      <c r="I18" s="82">
        <f t="shared" si="2"/>
        <v>-4.7804091334601253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0.09</v>
      </c>
      <c r="F19" s="230">
        <v>0.06</v>
      </c>
      <c r="G19" s="80">
        <f t="shared" si="0"/>
        <v>287.61728368121442</v>
      </c>
      <c r="H19" s="53">
        <f t="shared" si="1"/>
        <v>286.51464238140414</v>
      </c>
      <c r="I19" s="82">
        <f t="shared" si="2"/>
        <v>-1.1026412998102728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4728.7319696394679</v>
      </c>
      <c r="H20" s="53">
        <f t="shared" si="1"/>
        <v>4705.5313882289684</v>
      </c>
      <c r="I20" s="82">
        <f t="shared" si="2"/>
        <v>-23.200581410499581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3.67</v>
      </c>
      <c r="F21" s="230">
        <v>3.33</v>
      </c>
      <c r="G21" s="80">
        <f t="shared" si="0"/>
        <v>13410.72480803289</v>
      </c>
      <c r="H21" s="53">
        <f t="shared" si="1"/>
        <v>13351.451869079698</v>
      </c>
      <c r="I21" s="82">
        <f t="shared" si="2"/>
        <v>-59.272938953192352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>
        <v>7320.42</v>
      </c>
      <c r="H22" s="53">
        <v>7406.28</v>
      </c>
      <c r="I22" s="82">
        <f t="shared" si="2"/>
        <v>85.859999999999673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823.68443896268184</v>
      </c>
      <c r="H23" s="53">
        <f t="shared" si="1"/>
        <v>819.96311671726744</v>
      </c>
      <c r="I23" s="82">
        <f t="shared" si="2"/>
        <v>-3.7213222454143988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4.8499999999999996</v>
      </c>
      <c r="F24" s="230">
        <v>4.8499999999999996</v>
      </c>
      <c r="G24" s="80">
        <v>18682.82</v>
      </c>
      <c r="H24" s="53">
        <v>0</v>
      </c>
      <c r="I24" s="82">
        <f t="shared" si="2"/>
        <v>-18682.82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4110.0224063883616</v>
      </c>
      <c r="H25" s="53">
        <f t="shared" si="1"/>
        <v>4085.6641450948764</v>
      </c>
      <c r="I25" s="82">
        <f t="shared" si="2"/>
        <v>-24.358261293485157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2062.2723507273877</v>
      </c>
      <c r="H26" s="53">
        <f t="shared" si="1"/>
        <v>2048.4637007368756</v>
      </c>
      <c r="I26" s="82">
        <f t="shared" si="2"/>
        <v>-13.808649990512095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0.79</v>
      </c>
      <c r="F27" s="106">
        <v>0.78</v>
      </c>
      <c r="G27" s="107">
        <f t="shared" si="0"/>
        <v>3007.1204721695131</v>
      </c>
      <c r="H27" s="119">
        <f t="shared" si="1"/>
        <v>2993.3378244876662</v>
      </c>
      <c r="I27" s="109">
        <f t="shared" si="2"/>
        <v>-13.782647681846811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</v>
      </c>
      <c r="F28" s="113">
        <f>SUM(F16:F27)</f>
        <v>16.149999999999999</v>
      </c>
      <c r="G28" s="114">
        <f>SUM(G16:G27)</f>
        <v>59432.010000000009</v>
      </c>
      <c r="H28" s="115">
        <f>SUM(H16:H27)</f>
        <v>40672.546599999994</v>
      </c>
      <c r="I28" s="116">
        <f>H28-G28</f>
        <v>-18759.463400000015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0.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59432.01</v>
      </c>
      <c r="E32" s="296"/>
      <c r="F32" s="295">
        <f>15716.68+17712.09+7320.42</f>
        <v>40749.19</v>
      </c>
      <c r="G32" s="296"/>
      <c r="H32" s="295">
        <f>G24</f>
        <v>18682.82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50767.7</v>
      </c>
      <c r="E33" s="296"/>
      <c r="F33" s="295">
        <f>13423.98+15128.3+6257.99</f>
        <v>34810.269999999997</v>
      </c>
      <c r="G33" s="296"/>
      <c r="H33" s="295">
        <v>15957.43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40672.546599999994</v>
      </c>
      <c r="E34" s="315"/>
      <c r="F34" s="314">
        <f>H16+H17+H18+H19+H20+H21+H22+H23+H25+H26+H27</f>
        <v>40672.546599999994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10095.153400000003</v>
      </c>
      <c r="E35" s="318"/>
      <c r="F35" s="319">
        <f>F33-F34</f>
        <v>-5862.2765999999974</v>
      </c>
      <c r="G35" s="320"/>
      <c r="H35" s="319">
        <f>H33-H34</f>
        <v>15957.43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1.25" customHeight="1">
      <c r="C43" s="50"/>
      <c r="E43" s="285" t="s">
        <v>12</v>
      </c>
      <c r="F43" s="285"/>
    </row>
  </sheetData>
  <mergeCells count="46">
    <mergeCell ref="E42:F42"/>
    <mergeCell ref="G42:H42"/>
    <mergeCell ref="I42:J42"/>
    <mergeCell ref="E39:F39"/>
    <mergeCell ref="G39:H39"/>
    <mergeCell ref="I39:J39"/>
    <mergeCell ref="E40:F40"/>
    <mergeCell ref="G40:H40"/>
    <mergeCell ref="I40:J40"/>
    <mergeCell ref="I37:J37"/>
    <mergeCell ref="E38:F38"/>
    <mergeCell ref="G38:H38"/>
    <mergeCell ref="I38:J38"/>
    <mergeCell ref="E41:F41"/>
    <mergeCell ref="G36:H36"/>
    <mergeCell ref="D35:E35"/>
    <mergeCell ref="F35:G35"/>
    <mergeCell ref="E37:F37"/>
    <mergeCell ref="G37:H37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43:F43"/>
    <mergeCell ref="D33:E33"/>
    <mergeCell ref="F33:G33"/>
    <mergeCell ref="H33:I33"/>
    <mergeCell ref="B30:I30"/>
    <mergeCell ref="D31:E31"/>
    <mergeCell ref="F31:G31"/>
    <mergeCell ref="H31:I31"/>
    <mergeCell ref="D32:E32"/>
    <mergeCell ref="F32:G32"/>
    <mergeCell ref="H32:I32"/>
    <mergeCell ref="D34:E34"/>
    <mergeCell ref="F34:G34"/>
    <mergeCell ref="H34:I34"/>
    <mergeCell ref="H35:I35"/>
    <mergeCell ref="E36:F36"/>
  </mergeCells>
  <printOptions horizontalCentered="1"/>
  <pageMargins left="0.19685039370078741" right="0.39370078740157483" top="0.15748031496062992" bottom="0.23622047244094491" header="0.31496062992125984" footer="0.31496062992125984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5703125" style="1" customWidth="1"/>
    <col min="3" max="3" width="12.7109375" style="3" customWidth="1"/>
    <col min="4" max="4" width="9.42578125" style="3" customWidth="1"/>
    <col min="5" max="5" width="11.140625" style="3" customWidth="1"/>
    <col min="6" max="6" width="10.28515625" style="3" customWidth="1"/>
    <col min="7" max="7" width="10" style="1" customWidth="1"/>
    <col min="8" max="8" width="10.5703125" style="1" customWidth="1"/>
    <col min="9" max="9" width="11.85546875" style="1" customWidth="1"/>
    <col min="10" max="10" width="10.7109375" style="1" bestFit="1" customWidth="1"/>
    <col min="11" max="13" width="9.140625" style="1"/>
    <col min="14" max="14" width="14.140625" style="339" customWidth="1"/>
    <col min="15" max="16" width="13.7109375" style="339" customWidth="1"/>
    <col min="17" max="17" width="14.14062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175</v>
      </c>
      <c r="E5" s="299"/>
      <c r="F5" s="299"/>
    </row>
    <row r="6" spans="1:18">
      <c r="B6" s="1" t="s">
        <v>1</v>
      </c>
      <c r="D6" s="26">
        <v>1961</v>
      </c>
      <c r="E6" s="26"/>
      <c r="F6" s="26"/>
    </row>
    <row r="7" spans="1:18" ht="15" hidden="1" customHeight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16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176</v>
      </c>
      <c r="E9" s="26"/>
      <c r="F9" s="26"/>
    </row>
    <row r="10" spans="1:18" collapsed="1">
      <c r="B10" s="1" t="s">
        <v>5</v>
      </c>
      <c r="D10" s="26" t="s">
        <v>177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179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32079.05</v>
      </c>
      <c r="O15" s="341">
        <v>36151.83</v>
      </c>
      <c r="P15" s="341">
        <v>31857.85</v>
      </c>
      <c r="Q15" s="341">
        <v>35624.04</v>
      </c>
      <c r="R15" s="339">
        <f>(N15+O15)/(P15+Q15)*100</f>
        <v>101.10991260025469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8052.2269145319415</v>
      </c>
      <c r="H16" s="81">
        <f>($P$15/$P$16*E16)+($Q$15/$Q$16*F16)</f>
        <v>7965.2587994149271</v>
      </c>
      <c r="I16" s="82">
        <f>H16-G16</f>
        <v>-86.968115117014349</v>
      </c>
      <c r="J16" s="43"/>
      <c r="K16" s="12"/>
      <c r="L16" s="12"/>
      <c r="M16" s="13"/>
      <c r="N16" s="342"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2150.3209737507905</v>
      </c>
      <c r="H18" s="53">
        <f t="shared" si="1"/>
        <v>2127.4078421884883</v>
      </c>
      <c r="I18" s="82">
        <f t="shared" si="2"/>
        <v>-22.913131562302169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0.08</v>
      </c>
      <c r="F19" s="230">
        <v>0.06</v>
      </c>
      <c r="G19" s="80">
        <f t="shared" si="0"/>
        <v>547.73810309930423</v>
      </c>
      <c r="H19" s="53">
        <f t="shared" si="1"/>
        <v>542.16437887413031</v>
      </c>
      <c r="I19" s="82">
        <f t="shared" si="2"/>
        <v>-5.573724225173919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9651.7324046489557</v>
      </c>
      <c r="H20" s="53">
        <f t="shared" si="1"/>
        <v>9545.3498183111951</v>
      </c>
      <c r="I20" s="82">
        <f t="shared" si="2"/>
        <v>-106.38258633776059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3.67</v>
      </c>
      <c r="F21" s="230">
        <v>3.33</v>
      </c>
      <c r="G21" s="80">
        <f t="shared" si="0"/>
        <v>27372.39750387413</v>
      </c>
      <c r="H21" s="53">
        <f t="shared" si="1"/>
        <v>27083.928848592659</v>
      </c>
      <c r="I21" s="82">
        <f t="shared" si="2"/>
        <v>-288.468655281471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>
        <v>14539.38</v>
      </c>
      <c r="H22" s="53">
        <v>14723.45</v>
      </c>
      <c r="I22" s="82">
        <f t="shared" si="2"/>
        <v>184.07000000000153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1681.2079932005058</v>
      </c>
      <c r="H23" s="53">
        <f t="shared" si="1"/>
        <v>1663.3264290006323</v>
      </c>
      <c r="I23" s="82">
        <f t="shared" si="2"/>
        <v>-17.881564199873537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4.8499999999999996</v>
      </c>
      <c r="F24" s="230">
        <v>4.8499999999999996</v>
      </c>
      <c r="G24" s="80">
        <v>38133.19</v>
      </c>
      <c r="H24" s="53">
        <v>4924</v>
      </c>
      <c r="I24" s="82">
        <f t="shared" si="2"/>
        <v>-33209.19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8388.8945601676151</v>
      </c>
      <c r="H25" s="53">
        <f t="shared" si="1"/>
        <v>8287.9256689595186</v>
      </c>
      <c r="I25" s="82">
        <f t="shared" si="2"/>
        <v>-100.96889120809647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4209.267677024035</v>
      </c>
      <c r="H26" s="53">
        <f t="shared" si="1"/>
        <v>4155.3868775300434</v>
      </c>
      <c r="I26" s="82">
        <f t="shared" si="2"/>
        <v>-53.880799493991617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0.8</v>
      </c>
      <c r="F27" s="106">
        <v>0.78</v>
      </c>
      <c r="G27" s="107">
        <f t="shared" si="0"/>
        <v>6177.0938697027195</v>
      </c>
      <c r="H27" s="119">
        <f t="shared" si="1"/>
        <v>6111.1413371283998</v>
      </c>
      <c r="I27" s="109">
        <f t="shared" si="2"/>
        <v>-65.952532574319775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</v>
      </c>
      <c r="F28" s="113">
        <f>SUM(F16:F27)</f>
        <v>16.149999999999999</v>
      </c>
      <c r="G28" s="114">
        <f>SUM(G16:G27)</f>
        <v>120903.45</v>
      </c>
      <c r="H28" s="115">
        <f>SUM(H16:H27)</f>
        <v>87129.339999999982</v>
      </c>
      <c r="I28" s="116">
        <f>H28-G28</f>
        <v>-33774.110000000015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6.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120903.45000000001</v>
      </c>
      <c r="E32" s="296"/>
      <c r="F32" s="295">
        <f>32079.05+36151.83+14539.38</f>
        <v>82770.260000000009</v>
      </c>
      <c r="G32" s="296"/>
      <c r="H32" s="295">
        <f>G24</f>
        <v>38133.19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97357.33</v>
      </c>
      <c r="E33" s="296"/>
      <c r="F33" s="295">
        <f>25821.07+29099.34+11742.75</f>
        <v>66663.16</v>
      </c>
      <c r="G33" s="296"/>
      <c r="H33" s="295">
        <v>30694.17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87129.339999999982</v>
      </c>
      <c r="E34" s="315"/>
      <c r="F34" s="314">
        <f>H16+H17+H18+H19+H20+H21+H22+H23+H25+H26+H27</f>
        <v>82205.339999999982</v>
      </c>
      <c r="G34" s="315"/>
      <c r="H34" s="314">
        <f>H24</f>
        <v>4924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10227.99000000002</v>
      </c>
      <c r="E35" s="318"/>
      <c r="F35" s="319">
        <f>F33-F34</f>
        <v>-15542.179999999978</v>
      </c>
      <c r="G35" s="320"/>
      <c r="H35" s="319">
        <f>H33-H34</f>
        <v>25770.17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1.25" customHeight="1">
      <c r="C43" s="50"/>
      <c r="E43" s="285" t="s">
        <v>12</v>
      </c>
      <c r="F43" s="285"/>
    </row>
  </sheetData>
  <mergeCells count="46">
    <mergeCell ref="I40:J40"/>
    <mergeCell ref="E41:F41"/>
    <mergeCell ref="E42:F42"/>
    <mergeCell ref="G42:H42"/>
    <mergeCell ref="I42:J42"/>
    <mergeCell ref="E40:F40"/>
    <mergeCell ref="G40:H40"/>
    <mergeCell ref="G38:H38"/>
    <mergeCell ref="I38:J38"/>
    <mergeCell ref="E39:F39"/>
    <mergeCell ref="G39:H39"/>
    <mergeCell ref="I39:J39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E43:F43"/>
    <mergeCell ref="D33:E33"/>
    <mergeCell ref="F33:G33"/>
    <mergeCell ref="H33:I33"/>
    <mergeCell ref="E37:F37"/>
    <mergeCell ref="G37:H37"/>
    <mergeCell ref="D34:E34"/>
    <mergeCell ref="F34:G34"/>
    <mergeCell ref="H34:I34"/>
    <mergeCell ref="H35:I35"/>
    <mergeCell ref="E36:F36"/>
    <mergeCell ref="G36:H36"/>
    <mergeCell ref="D35:E35"/>
    <mergeCell ref="F35:G35"/>
    <mergeCell ref="I37:J37"/>
    <mergeCell ref="E38:F38"/>
  </mergeCells>
  <printOptions horizontalCentered="1"/>
  <pageMargins left="0.19685039370078741" right="0.19685039370078741" top="0.15748031496062992" bottom="0.31496062992125984" header="0.59055118110236227" footer="0.31496062992125984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85546875" style="1" customWidth="1"/>
    <col min="3" max="3" width="11.7109375" style="3" customWidth="1"/>
    <col min="4" max="4" width="9.5703125" style="3" customWidth="1"/>
    <col min="5" max="5" width="9.140625" style="3" customWidth="1"/>
    <col min="6" max="6" width="10.28515625" style="3" customWidth="1"/>
    <col min="7" max="7" width="9.85546875" style="1" customWidth="1"/>
    <col min="8" max="8" width="10.28515625" style="1" customWidth="1"/>
    <col min="9" max="9" width="12.42578125" style="1" customWidth="1"/>
    <col min="10" max="10" width="10.7109375" style="1" bestFit="1" customWidth="1"/>
    <col min="11" max="13" width="9.140625" style="1"/>
    <col min="14" max="14" width="14.7109375" style="339" customWidth="1"/>
    <col min="15" max="15" width="15.5703125" style="339" customWidth="1"/>
    <col min="16" max="16" width="14.140625" style="339" customWidth="1"/>
    <col min="17" max="17" width="18.140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180</v>
      </c>
      <c r="E5" s="299"/>
      <c r="F5" s="299"/>
    </row>
    <row r="6" spans="1:18">
      <c r="B6" s="1" t="s">
        <v>1</v>
      </c>
      <c r="D6" s="26">
        <v>1956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8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181</v>
      </c>
      <c r="E9" s="26"/>
      <c r="F9" s="26"/>
    </row>
    <row r="10" spans="1:18" collapsed="1">
      <c r="B10" s="1" t="s">
        <v>5</v>
      </c>
      <c r="D10" s="26" t="s">
        <v>182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/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25435.26</v>
      </c>
      <c r="O15" s="341">
        <v>28677.01</v>
      </c>
      <c r="P15" s="341">
        <f>22053.87*1.15</f>
        <v>25361.950499999995</v>
      </c>
      <c r="Q15" s="341">
        <f>24661.05*1.15</f>
        <v>28360.207499999997</v>
      </c>
      <c r="R15" s="339">
        <f>(N15+O15)/(P15+Q15)*100</f>
        <v>100.72616591463061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6385.9637737191642</v>
      </c>
      <c r="H16" s="81">
        <f>($P$15/$P$16*E16)+($Q$15/$Q$16*F16)</f>
        <v>6341.1219020991448</v>
      </c>
      <c r="I16" s="82">
        <f>H16-G16</f>
        <v>-44.841871620019447</v>
      </c>
      <c r="J16" s="43"/>
      <c r="K16" s="12"/>
      <c r="L16" s="12"/>
      <c r="M16" s="13"/>
      <c r="N16" s="342"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2">
        <v>0.28000000000000003</v>
      </c>
      <c r="F18" s="230">
        <v>0.27</v>
      </c>
      <c r="G18" s="80">
        <f t="shared" si="0"/>
        <v>1705.3368842504742</v>
      </c>
      <c r="H18" s="53">
        <f t="shared" si="1"/>
        <v>1693.6238702561668</v>
      </c>
      <c r="I18" s="82">
        <f t="shared" si="2"/>
        <v>-11.713013994307403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2">
        <v>0.13</v>
      </c>
      <c r="F19" s="230">
        <v>0.03</v>
      </c>
      <c r="G19" s="80">
        <f t="shared" si="0"/>
        <v>497.72508681214413</v>
      </c>
      <c r="H19" s="53">
        <f t="shared" si="1"/>
        <v>495.53522230787473</v>
      </c>
      <c r="I19" s="82">
        <f t="shared" si="2"/>
        <v>-2.1898645042693943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2">
        <v>1.1399999999999999</v>
      </c>
      <c r="F20" s="230">
        <v>1.33</v>
      </c>
      <c r="G20" s="80">
        <f t="shared" si="0"/>
        <v>7654.5762261227064</v>
      </c>
      <c r="H20" s="53">
        <f t="shared" si="1"/>
        <v>7599.0282937618585</v>
      </c>
      <c r="I20" s="82">
        <f t="shared" si="2"/>
        <v>-55.547932360847881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2">
        <v>3.67</v>
      </c>
      <c r="F21" s="230">
        <v>3.33</v>
      </c>
      <c r="G21" s="80">
        <f t="shared" si="0"/>
        <v>21707.852577324476</v>
      </c>
      <c r="H21" s="53">
        <f t="shared" si="1"/>
        <v>21561.445536468214</v>
      </c>
      <c r="I21" s="82">
        <f t="shared" si="2"/>
        <v>-146.40704085626203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2">
        <v>1.94</v>
      </c>
      <c r="F22" s="230">
        <v>2</v>
      </c>
      <c r="G22" s="80">
        <v>10039.44</v>
      </c>
      <c r="H22" s="53">
        <v>10192.43</v>
      </c>
      <c r="I22" s="82">
        <f t="shared" si="2"/>
        <v>152.98999999999978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2">
        <v>0.22</v>
      </c>
      <c r="F23" s="230">
        <v>0.21</v>
      </c>
      <c r="G23" s="80">
        <f t="shared" si="0"/>
        <v>1333.2999459203033</v>
      </c>
      <c r="H23" s="53">
        <f t="shared" si="1"/>
        <v>1324.1698594639465</v>
      </c>
      <c r="I23" s="82">
        <f t="shared" si="2"/>
        <v>-9.1300864563568211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2">
        <v>4.8499999999999996</v>
      </c>
      <c r="F24" s="230">
        <v>0</v>
      </c>
      <c r="G24" s="80">
        <v>15117.77</v>
      </c>
      <c r="H24" s="53">
        <v>4060</v>
      </c>
      <c r="I24" s="82">
        <f t="shared" si="2"/>
        <v>-11057.77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2">
        <v>0.71</v>
      </c>
      <c r="F25" s="230">
        <v>1.44</v>
      </c>
      <c r="G25" s="80">
        <f t="shared" si="0"/>
        <v>6653.4282111005687</v>
      </c>
      <c r="H25" s="53">
        <f t="shared" si="1"/>
        <v>6597.9962755573988</v>
      </c>
      <c r="I25" s="82">
        <f t="shared" si="2"/>
        <v>-55.431935543169857</v>
      </c>
      <c r="J25" s="5"/>
      <c r="K25" s="250"/>
      <c r="L25" s="250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2">
        <v>0.25</v>
      </c>
      <c r="F26" s="230">
        <v>0.83</v>
      </c>
      <c r="G26" s="80">
        <f t="shared" si="0"/>
        <v>3338.6125978810874</v>
      </c>
      <c r="H26" s="53">
        <f t="shared" si="1"/>
        <v>3308.0928245374753</v>
      </c>
      <c r="I26" s="82">
        <f t="shared" si="2"/>
        <v>-30.519773343612087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0.75</v>
      </c>
      <c r="F27" s="106">
        <v>0.81</v>
      </c>
      <c r="G27" s="107">
        <f t="shared" si="0"/>
        <v>4835.4746968690697</v>
      </c>
      <c r="H27" s="119">
        <f t="shared" si="1"/>
        <v>4801.1442155479126</v>
      </c>
      <c r="I27" s="109">
        <f t="shared" si="2"/>
        <v>-34.330481321157094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</v>
      </c>
      <c r="F28" s="113">
        <f>SUM(F16:F27)</f>
        <v>11.3</v>
      </c>
      <c r="G28" s="114">
        <f>SUM(G16:G27)</f>
        <v>79269.48000000001</v>
      </c>
      <c r="H28" s="115">
        <f>SUM(H16:H27)</f>
        <v>67974.587999999989</v>
      </c>
      <c r="I28" s="116">
        <f>H28-G28</f>
        <v>-11294.892000000022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3.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3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79269.48</v>
      </c>
      <c r="E32" s="296"/>
      <c r="F32" s="295">
        <f>25435.26+28677.01+10039.44</f>
        <v>64151.71</v>
      </c>
      <c r="G32" s="296"/>
      <c r="H32" s="295">
        <f>G24</f>
        <v>15117.77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67181.14</v>
      </c>
      <c r="E33" s="296"/>
      <c r="F33" s="295">
        <f>22154.85+24978.51+6879.76</f>
        <v>54013.120000000003</v>
      </c>
      <c r="G33" s="296"/>
      <c r="H33" s="295">
        <v>13168.02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67974.587999999989</v>
      </c>
      <c r="E34" s="315"/>
      <c r="F34" s="314">
        <f>H16+H17+H18+H19+H20+H21+H22+H23+H25+H26+H27</f>
        <v>63914.587999999989</v>
      </c>
      <c r="G34" s="315"/>
      <c r="H34" s="314">
        <f>H24</f>
        <v>4060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-793.44799999998577</v>
      </c>
      <c r="E35" s="318"/>
      <c r="F35" s="319">
        <f>F33-F34</f>
        <v>-9901.4679999999862</v>
      </c>
      <c r="G35" s="320"/>
      <c r="H35" s="319">
        <f>H33-H34</f>
        <v>9108.02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49" t="s">
        <v>267</v>
      </c>
      <c r="C36" s="249"/>
      <c r="D36" s="24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49"/>
      <c r="C37" s="249"/>
      <c r="D37" s="24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49" t="s">
        <v>268</v>
      </c>
      <c r="C38" s="249"/>
      <c r="D38" s="24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49"/>
      <c r="C39" s="249"/>
      <c r="D39" s="24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49" t="s">
        <v>269</v>
      </c>
      <c r="C40" s="249"/>
      <c r="D40" s="24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1"/>
      <c r="J41" s="62"/>
      <c r="N41" s="341"/>
      <c r="O41" s="341"/>
      <c r="P41" s="341"/>
      <c r="Q41" s="341"/>
    </row>
    <row r="42" spans="2:18">
      <c r="B42" s="249" t="s">
        <v>270</v>
      </c>
      <c r="C42" s="249"/>
      <c r="D42" s="24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C43" s="50"/>
      <c r="E43" s="285" t="s">
        <v>12</v>
      </c>
      <c r="F43" s="285"/>
    </row>
  </sheetData>
  <mergeCells count="46">
    <mergeCell ref="I40:J40"/>
    <mergeCell ref="E41:F41"/>
    <mergeCell ref="E42:F42"/>
    <mergeCell ref="G42:H42"/>
    <mergeCell ref="I42:J42"/>
    <mergeCell ref="E40:F40"/>
    <mergeCell ref="G40:H40"/>
    <mergeCell ref="E39:F39"/>
    <mergeCell ref="G39:H39"/>
    <mergeCell ref="I39:J39"/>
    <mergeCell ref="E37:F37"/>
    <mergeCell ref="G37:H37"/>
    <mergeCell ref="F33:G33"/>
    <mergeCell ref="D35:E35"/>
    <mergeCell ref="F35:G35"/>
    <mergeCell ref="I37:J37"/>
    <mergeCell ref="E38:F38"/>
    <mergeCell ref="G38:H38"/>
    <mergeCell ref="I38:J38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43:F43"/>
    <mergeCell ref="B30:I30"/>
    <mergeCell ref="D31:E31"/>
    <mergeCell ref="F31:G31"/>
    <mergeCell ref="H31:I31"/>
    <mergeCell ref="D32:E32"/>
    <mergeCell ref="F32:G32"/>
    <mergeCell ref="H32:I32"/>
    <mergeCell ref="H33:I33"/>
    <mergeCell ref="H34:I34"/>
    <mergeCell ref="H35:I35"/>
    <mergeCell ref="E36:F36"/>
    <mergeCell ref="G36:H36"/>
    <mergeCell ref="D34:E34"/>
    <mergeCell ref="F34:G34"/>
    <mergeCell ref="D33:E33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1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.85546875" style="1" customWidth="1"/>
    <col min="3" max="3" width="11.42578125" style="3" customWidth="1"/>
    <col min="4" max="4" width="9" style="3" customWidth="1"/>
    <col min="5" max="6" width="10.28515625" style="3" customWidth="1"/>
    <col min="7" max="7" width="9.140625" style="1" customWidth="1"/>
    <col min="8" max="8" width="10.28515625" style="1" customWidth="1"/>
    <col min="9" max="9" width="11" style="1" customWidth="1"/>
    <col min="10" max="10" width="10.7109375" style="1" bestFit="1" customWidth="1"/>
    <col min="11" max="13" width="9.140625" style="1"/>
    <col min="14" max="14" width="12.7109375" style="339" customWidth="1"/>
    <col min="15" max="15" width="13" style="339" customWidth="1"/>
    <col min="16" max="17" width="12.570312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7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183</v>
      </c>
      <c r="E5" s="299"/>
      <c r="F5" s="299"/>
    </row>
    <row r="6" spans="1:18">
      <c r="B6" s="1" t="s">
        <v>1</v>
      </c>
      <c r="D6" s="26">
        <v>1961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8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184</v>
      </c>
      <c r="E9" s="26"/>
      <c r="F9" s="26"/>
    </row>
    <row r="10" spans="1:18" collapsed="1">
      <c r="B10" s="1" t="s">
        <v>5</v>
      </c>
      <c r="D10" s="26" t="s">
        <v>185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/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19087.509999999998</v>
      </c>
      <c r="O15" s="341">
        <v>21510.87</v>
      </c>
      <c r="P15" s="341">
        <v>19085.28</v>
      </c>
      <c r="Q15" s="341">
        <v>21341.51</v>
      </c>
      <c r="R15" s="339">
        <f>(N15+O15)/(P15+Q15)*100</f>
        <v>100.42444626446969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4791.1938065306767</v>
      </c>
      <c r="H16" s="81">
        <f>($P$15/$P$16*E16)+($Q$15/$Q$16*F16)</f>
        <v>4771.7964990512328</v>
      </c>
      <c r="I16" s="82">
        <f>H16-G16</f>
        <v>-19.397307479443953</v>
      </c>
      <c r="J16" s="43"/>
      <c r="K16" s="12"/>
      <c r="L16" s="12"/>
      <c r="M16" s="13"/>
      <c r="N16" s="342"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6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6">
        <v>0.28000000000000003</v>
      </c>
      <c r="F18" s="230">
        <v>0.27</v>
      </c>
      <c r="G18" s="80">
        <f t="shared" si="0"/>
        <v>1279.4727074636305</v>
      </c>
      <c r="H18" s="53">
        <f t="shared" si="1"/>
        <v>1274.4792846299811</v>
      </c>
      <c r="I18" s="82">
        <f t="shared" si="2"/>
        <v>-4.9934228336494471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6">
        <v>0.09</v>
      </c>
      <c r="F19" s="230">
        <v>0.04</v>
      </c>
      <c r="G19" s="80">
        <f t="shared" si="0"/>
        <v>303.04387832068306</v>
      </c>
      <c r="H19" s="53">
        <f t="shared" si="1"/>
        <v>302.29085262492089</v>
      </c>
      <c r="I19" s="82">
        <f t="shared" si="2"/>
        <v>-0.75302569576217593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6">
        <v>1.1399999999999999</v>
      </c>
      <c r="F20" s="230">
        <v>1.33</v>
      </c>
      <c r="G20" s="80">
        <f t="shared" si="0"/>
        <v>5742.923136148007</v>
      </c>
      <c r="H20" s="53">
        <f t="shared" si="1"/>
        <v>5718.3912909550909</v>
      </c>
      <c r="I20" s="82">
        <f t="shared" si="2"/>
        <v>-24.53184519291608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6">
        <v>3.67</v>
      </c>
      <c r="F21" s="230">
        <v>3.33</v>
      </c>
      <c r="G21" s="80">
        <f t="shared" si="0"/>
        <v>16286.980446790003</v>
      </c>
      <c r="H21" s="53">
        <f t="shared" si="1"/>
        <v>16225.335686907019</v>
      </c>
      <c r="I21" s="82">
        <f t="shared" si="2"/>
        <v>-61.644759882983635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6">
        <v>1.94</v>
      </c>
      <c r="F22" s="230">
        <v>2</v>
      </c>
      <c r="G22" s="80">
        <v>8688.06</v>
      </c>
      <c r="H22" s="53">
        <v>8820.4699999999993</v>
      </c>
      <c r="I22" s="82">
        <f t="shared" si="2"/>
        <v>132.40999999999985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6">
        <v>0.22</v>
      </c>
      <c r="F23" s="230">
        <v>0.21</v>
      </c>
      <c r="G23" s="80">
        <f t="shared" si="0"/>
        <v>1000.3435627767235</v>
      </c>
      <c r="H23" s="53">
        <f t="shared" si="1"/>
        <v>996.45918216318773</v>
      </c>
      <c r="I23" s="82">
        <f t="shared" si="2"/>
        <v>-3.8843806135357681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6">
        <v>4.8499999999999996</v>
      </c>
      <c r="F24" s="230">
        <v>4.8499999999999996</v>
      </c>
      <c r="G24" s="80">
        <v>22689.81</v>
      </c>
      <c r="H24" s="53">
        <v>0</v>
      </c>
      <c r="I24" s="82">
        <f t="shared" si="2"/>
        <v>-22689.81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6">
        <v>0.71</v>
      </c>
      <c r="F25" s="230">
        <v>1.44</v>
      </c>
      <c r="G25" s="80">
        <f t="shared" si="0"/>
        <v>4991.5158572896889</v>
      </c>
      <c r="H25" s="53">
        <f t="shared" si="1"/>
        <v>4965.0983415559767</v>
      </c>
      <c r="I25" s="82">
        <f t="shared" si="2"/>
        <v>-26.417515733712207</v>
      </c>
      <c r="J25" s="5"/>
      <c r="K25" s="255"/>
      <c r="L25" s="25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6">
        <v>0.25</v>
      </c>
      <c r="F26" s="230">
        <v>0.83</v>
      </c>
      <c r="G26" s="80">
        <f t="shared" si="0"/>
        <v>2504.5762318943703</v>
      </c>
      <c r="H26" s="53">
        <f t="shared" si="1"/>
        <v>2489.3929860847561</v>
      </c>
      <c r="I26" s="82">
        <f t="shared" si="2"/>
        <v>-15.183245809614164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0.79</v>
      </c>
      <c r="F27" s="106">
        <v>0.8</v>
      </c>
      <c r="G27" s="107">
        <f t="shared" si="0"/>
        <v>3698.3303727862108</v>
      </c>
      <c r="H27" s="119">
        <f t="shared" si="1"/>
        <v>3683.5458760278302</v>
      </c>
      <c r="I27" s="109">
        <f t="shared" si="2"/>
        <v>-14.784496758380556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</v>
      </c>
      <c r="F28" s="113">
        <f>SUM(F16:F27)</f>
        <v>16.149999999999999</v>
      </c>
      <c r="G28" s="114">
        <f>SUM(G16:G27)</f>
        <v>71976.25</v>
      </c>
      <c r="H28" s="115">
        <f>SUM(H16:H27)</f>
        <v>49247.259999999995</v>
      </c>
      <c r="I28" s="116">
        <f>H28-G28</f>
        <v>-22728.990000000005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0.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8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71976.25</v>
      </c>
      <c r="E32" s="296"/>
      <c r="F32" s="295">
        <f>19087.51+21510.87+8688.06</f>
        <v>49286.439999999995</v>
      </c>
      <c r="G32" s="296"/>
      <c r="H32" s="295">
        <f>G24</f>
        <v>22689.81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64451.65</v>
      </c>
      <c r="E33" s="296"/>
      <c r="F33" s="295">
        <f>17095.91+19266.42+7766.97</f>
        <v>44129.3</v>
      </c>
      <c r="G33" s="296"/>
      <c r="H33" s="295">
        <v>20322.349999999999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49247.259999999995</v>
      </c>
      <c r="E34" s="315"/>
      <c r="F34" s="314">
        <f>H16+H17+H18+H19+H20+H21+H22+H23+H25+H26+H27</f>
        <v>49247.259999999995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15204.390000000007</v>
      </c>
      <c r="E35" s="318"/>
      <c r="F35" s="319">
        <f>F33-F34</f>
        <v>-5117.9599999999919</v>
      </c>
      <c r="G35" s="320"/>
      <c r="H35" s="319">
        <f>H33-H34</f>
        <v>20322.349999999999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4" t="s">
        <v>267</v>
      </c>
      <c r="C36" s="254"/>
      <c r="D36" s="25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4"/>
      <c r="C37" s="254"/>
      <c r="D37" s="25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4" t="s">
        <v>268</v>
      </c>
      <c r="C38" s="254"/>
      <c r="D38" s="25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4"/>
      <c r="C39" s="254"/>
      <c r="D39" s="25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4" t="s">
        <v>269</v>
      </c>
      <c r="C40" s="254"/>
      <c r="D40" s="25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7"/>
      <c r="J41" s="62"/>
      <c r="N41" s="341"/>
      <c r="O41" s="341"/>
      <c r="P41" s="341"/>
      <c r="Q41" s="341"/>
    </row>
    <row r="42" spans="2:18">
      <c r="B42" s="254" t="s">
        <v>270</v>
      </c>
      <c r="C42" s="254"/>
      <c r="D42" s="25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E43" s="285" t="s">
        <v>12</v>
      </c>
      <c r="F43" s="285"/>
    </row>
  </sheetData>
  <mergeCells count="46"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H33:I33"/>
    <mergeCell ref="H34:I34"/>
    <mergeCell ref="H35:I35"/>
    <mergeCell ref="E36:F36"/>
    <mergeCell ref="G36:H36"/>
    <mergeCell ref="D35:E35"/>
    <mergeCell ref="F35:G35"/>
    <mergeCell ref="D34:E34"/>
    <mergeCell ref="F34:G34"/>
    <mergeCell ref="D33:E33"/>
    <mergeCell ref="F33:G33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E43:F43"/>
    <mergeCell ref="I40:J40"/>
    <mergeCell ref="E41:F41"/>
    <mergeCell ref="E42:F42"/>
    <mergeCell ref="G42:H42"/>
    <mergeCell ref="I42:J42"/>
    <mergeCell ref="E40:F40"/>
    <mergeCell ref="G40:H40"/>
  </mergeCells>
  <printOptions horizontalCentered="1"/>
  <pageMargins left="0.19685039370078741" right="0.19685039370078741" top="0.15748031496062992" bottom="0.35433070866141736" header="0.31496062992125984" footer="0.23622047244094491"/>
  <pageSetup paperSize="9" scale="4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85546875" style="1" customWidth="1"/>
    <col min="3" max="3" width="11.42578125" style="3" customWidth="1"/>
    <col min="4" max="4" width="9" style="3" customWidth="1"/>
    <col min="5" max="5" width="9.7109375" style="3" customWidth="1"/>
    <col min="6" max="6" width="10.28515625" style="3" customWidth="1"/>
    <col min="7" max="8" width="10.28515625" style="1" customWidth="1"/>
    <col min="9" max="9" width="11.28515625" style="1" customWidth="1"/>
    <col min="10" max="10" width="10.7109375" style="1" bestFit="1" customWidth="1"/>
    <col min="11" max="13" width="9.140625" style="1"/>
    <col min="14" max="14" width="14.5703125" style="339" customWidth="1"/>
    <col min="15" max="15" width="13.5703125" style="339" customWidth="1"/>
    <col min="16" max="16" width="12.28515625" style="339" customWidth="1"/>
    <col min="17" max="17" width="12.855468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9.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186</v>
      </c>
      <c r="E5" s="299"/>
      <c r="F5" s="299"/>
    </row>
    <row r="6" spans="1:18">
      <c r="B6" s="1" t="s">
        <v>1</v>
      </c>
      <c r="D6" s="26">
        <v>1956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8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187</v>
      </c>
      <c r="E9" s="26"/>
      <c r="F9" s="26"/>
    </row>
    <row r="10" spans="1:18" collapsed="1">
      <c r="B10" s="1" t="s">
        <v>5</v>
      </c>
      <c r="D10" s="38" t="s">
        <v>262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188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22193.17</v>
      </c>
      <c r="O15" s="341">
        <v>25010.6</v>
      </c>
      <c r="P15" s="341">
        <v>22053.87</v>
      </c>
      <c r="Q15" s="341">
        <v>24661.05</v>
      </c>
      <c r="R15" s="339">
        <f>(N15+O15)/(P15+Q15)*100</f>
        <v>101.04645368117937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5526.2666174199348</v>
      </c>
      <c r="H16" s="81">
        <f>($P$15/$P$16*E16)+($Q$15/$Q$16*F16)</f>
        <v>5470.0009867587542</v>
      </c>
      <c r="I16" s="82">
        <f>H16-G16</f>
        <v>-56.265630661180694</v>
      </c>
      <c r="J16" s="43"/>
      <c r="K16" s="12"/>
      <c r="L16" s="12"/>
      <c r="M16" s="13"/>
      <c r="N16" s="342">
        <v>8.23</v>
      </c>
      <c r="O16" s="341">
        <v>9.3699999999999992</v>
      </c>
      <c r="P16" s="342">
        <v>8.23</v>
      </c>
      <c r="Q16" s="341">
        <v>9.3699999999999992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56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56">
        <v>0.28000000000000003</v>
      </c>
      <c r="F18" s="230">
        <v>0.27</v>
      </c>
      <c r="G18" s="80">
        <f t="shared" si="0"/>
        <v>1475.7428191365893</v>
      </c>
      <c r="H18" s="53">
        <f t="shared" si="1"/>
        <v>1460.9311605249818</v>
      </c>
      <c r="I18" s="82">
        <f t="shared" si="2"/>
        <v>-14.811658611607527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56">
        <v>0.06</v>
      </c>
      <c r="F19" s="230">
        <v>0.01</v>
      </c>
      <c r="G19" s="80">
        <f t="shared" si="0"/>
        <v>188.48931731917611</v>
      </c>
      <c r="H19" s="53">
        <f t="shared" si="1"/>
        <v>187.10071216921199</v>
      </c>
      <c r="I19" s="82">
        <f t="shared" si="2"/>
        <v>-1.3886051499641212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56">
        <v>1.1399999999999999</v>
      </c>
      <c r="F20" s="230">
        <v>1.33</v>
      </c>
      <c r="G20" s="80">
        <f t="shared" si="0"/>
        <v>6624.2088753823828</v>
      </c>
      <c r="H20" s="53">
        <f t="shared" si="1"/>
        <v>6555.2974159535552</v>
      </c>
      <c r="I20" s="82">
        <f t="shared" si="2"/>
        <v>-68.911459428827584</v>
      </c>
      <c r="J20" s="5"/>
      <c r="N20" s="341"/>
      <c r="O20" s="341"/>
      <c r="P20" s="341"/>
      <c r="Q20" s="341"/>
    </row>
    <row r="21" spans="2:18" ht="144" customHeight="1">
      <c r="B21" s="102" t="s">
        <v>282</v>
      </c>
      <c r="C21" s="76" t="s">
        <v>303</v>
      </c>
      <c r="D21" s="77" t="s">
        <v>300</v>
      </c>
      <c r="E21" s="256">
        <v>3.67</v>
      </c>
      <c r="F21" s="230">
        <v>3.33</v>
      </c>
      <c r="G21" s="80">
        <f t="shared" si="0"/>
        <v>18785.095437638025</v>
      </c>
      <c r="H21" s="53">
        <f t="shared" si="1"/>
        <v>18598.751040561445</v>
      </c>
      <c r="I21" s="82">
        <f t="shared" si="2"/>
        <v>-186.34439707658021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56">
        <v>1.94</v>
      </c>
      <c r="F22" s="230">
        <v>2</v>
      </c>
      <c r="G22" s="80">
        <v>10039.379999999999</v>
      </c>
      <c r="H22" s="53">
        <v>10192.43</v>
      </c>
      <c r="I22" s="82">
        <f t="shared" si="2"/>
        <v>153.05000000000109</v>
      </c>
      <c r="J22" s="5"/>
      <c r="N22" s="341"/>
      <c r="O22" s="341"/>
      <c r="P22" s="341"/>
      <c r="Q22" s="341"/>
      <c r="R22" s="351"/>
    </row>
    <row r="23" spans="2:18" ht="107.25" customHeight="1">
      <c r="B23" s="102" t="s">
        <v>305</v>
      </c>
      <c r="C23" s="76" t="s">
        <v>299</v>
      </c>
      <c r="D23" s="77" t="s">
        <v>300</v>
      </c>
      <c r="E23" s="256">
        <v>0.22</v>
      </c>
      <c r="F23" s="230">
        <v>0.21</v>
      </c>
      <c r="G23" s="80">
        <f t="shared" si="0"/>
        <v>1153.792455926271</v>
      </c>
      <c r="H23" s="53">
        <f t="shared" si="1"/>
        <v>1142.2346639374132</v>
      </c>
      <c r="I23" s="82">
        <f t="shared" si="2"/>
        <v>-11.557791988857844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56">
        <v>4.8899999999999997</v>
      </c>
      <c r="F24" s="230">
        <v>4.8899999999999997</v>
      </c>
      <c r="G24" s="80">
        <v>26372.93</v>
      </c>
      <c r="H24" s="53">
        <v>0</v>
      </c>
      <c r="I24" s="82">
        <f t="shared" si="2"/>
        <v>-26372.93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56">
        <v>0.71</v>
      </c>
      <c r="F25" s="230">
        <v>1.44</v>
      </c>
      <c r="G25" s="80">
        <f t="shared" si="0"/>
        <v>5758.2772346661031</v>
      </c>
      <c r="H25" s="53">
        <f t="shared" si="1"/>
        <v>5692.5403287942318</v>
      </c>
      <c r="I25" s="82">
        <f t="shared" si="2"/>
        <v>-65.736905871871386</v>
      </c>
      <c r="J25" s="5"/>
      <c r="K25" s="255"/>
      <c r="L25" s="255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56">
        <v>0.25</v>
      </c>
      <c r="F26" s="230">
        <v>0.83</v>
      </c>
      <c r="G26" s="80">
        <f t="shared" si="0"/>
        <v>2889.6079790469053</v>
      </c>
      <c r="H26" s="53">
        <f t="shared" si="1"/>
        <v>2854.4131683678033</v>
      </c>
      <c r="I26" s="82">
        <f t="shared" si="2"/>
        <v>-35.19481067910192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0.89</v>
      </c>
      <c r="F27" s="106">
        <v>0.9</v>
      </c>
      <c r="G27" s="107">
        <f t="shared" si="0"/>
        <v>4802.2892634646132</v>
      </c>
      <c r="H27" s="119">
        <f t="shared" si="1"/>
        <v>4753.6505229326031</v>
      </c>
      <c r="I27" s="109">
        <f t="shared" si="2"/>
        <v>-48.638740532010161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15.060000000000002</v>
      </c>
      <c r="F28" s="113">
        <f>SUM(F16:F27)</f>
        <v>16.259999999999998</v>
      </c>
      <c r="G28" s="114">
        <f>SUM(G16:G27)</f>
        <v>83616.08</v>
      </c>
      <c r="H28" s="115">
        <f>SUM(H16:H27)</f>
        <v>56907.350000000006</v>
      </c>
      <c r="I28" s="116">
        <f>H28-G28</f>
        <v>-26708.729999999996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2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58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83616.079999999987</v>
      </c>
      <c r="E32" s="296"/>
      <c r="F32" s="295">
        <f>22193.17+25010.6+10039.38</f>
        <v>57243.149999999994</v>
      </c>
      <c r="G32" s="296"/>
      <c r="H32" s="295">
        <f>G24</f>
        <v>26372.93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69109.100000000006</v>
      </c>
      <c r="E33" s="296"/>
      <c r="F33" s="295">
        <f>18280.97+20601.74+8502.47</f>
        <v>47385.180000000008</v>
      </c>
      <c r="G33" s="296"/>
      <c r="H33" s="295">
        <v>21723.919999999998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56907.350000000006</v>
      </c>
      <c r="E34" s="315"/>
      <c r="F34" s="314">
        <f>H16+H17+H18+H19+H20+H21+H22+H23+H25+H26+H27</f>
        <v>56907.350000000006</v>
      </c>
      <c r="G34" s="315"/>
      <c r="H34" s="314">
        <f>H24</f>
        <v>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12201.75</v>
      </c>
      <c r="E35" s="318"/>
      <c r="F35" s="319">
        <f>F33-F34</f>
        <v>-9522.1699999999983</v>
      </c>
      <c r="G35" s="320"/>
      <c r="H35" s="319">
        <f>H33-H34</f>
        <v>21723.919999999998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4" t="s">
        <v>267</v>
      </c>
      <c r="C36" s="254"/>
      <c r="D36" s="254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4"/>
      <c r="C37" s="254"/>
      <c r="D37" s="254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4" t="s">
        <v>268</v>
      </c>
      <c r="C38" s="254"/>
      <c r="D38" s="254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4"/>
      <c r="C39" s="254"/>
      <c r="D39" s="254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4" t="s">
        <v>269</v>
      </c>
      <c r="C40" s="254"/>
      <c r="D40" s="254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57"/>
      <c r="J41" s="62"/>
      <c r="N41" s="341"/>
      <c r="O41" s="341"/>
      <c r="P41" s="341"/>
      <c r="Q41" s="341"/>
    </row>
    <row r="42" spans="2:18">
      <c r="B42" s="254" t="s">
        <v>270</v>
      </c>
      <c r="C42" s="254"/>
      <c r="D42" s="254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0.5" customHeight="1">
      <c r="E43" s="285" t="s">
        <v>12</v>
      </c>
      <c r="F43" s="285"/>
    </row>
  </sheetData>
  <mergeCells count="46"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12:E12"/>
    <mergeCell ref="D5:F5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E43:F43"/>
    <mergeCell ref="E41:F41"/>
    <mergeCell ref="E42:F42"/>
    <mergeCell ref="G42:H42"/>
    <mergeCell ref="I42:J42"/>
  </mergeCells>
  <printOptions horizontalCentered="1"/>
  <pageMargins left="0.19685039370078741" right="0.27559055118110237" top="0.15748031496062992" bottom="0.27559055118110237" header="0.31496062992125984" footer="0.23622047244094491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28515625" style="1" customWidth="1"/>
    <col min="3" max="3" width="12.7109375" style="3" customWidth="1"/>
    <col min="4" max="4" width="9.42578125" style="3" customWidth="1"/>
    <col min="5" max="6" width="10" style="3" customWidth="1"/>
    <col min="7" max="7" width="10.5703125" style="1" customWidth="1"/>
    <col min="8" max="8" width="12.28515625" style="1" customWidth="1"/>
    <col min="9" max="9" width="11.85546875" style="1" customWidth="1"/>
    <col min="10" max="10" width="10.7109375" style="1" bestFit="1" customWidth="1"/>
    <col min="11" max="13" width="9.140625" style="1"/>
    <col min="14" max="14" width="12.42578125" style="339" customWidth="1"/>
    <col min="15" max="15" width="12.85546875" style="339" customWidth="1"/>
    <col min="16" max="16" width="14" style="339" customWidth="1"/>
    <col min="17" max="17" width="13.28515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4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189</v>
      </c>
      <c r="E5" s="299"/>
      <c r="F5" s="299"/>
    </row>
    <row r="6" spans="1:18">
      <c r="B6" s="1" t="s">
        <v>1</v>
      </c>
      <c r="D6" s="26">
        <v>1961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16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190</v>
      </c>
      <c r="E9" s="26"/>
      <c r="F9" s="26"/>
    </row>
    <row r="10" spans="1:18" collapsed="1">
      <c r="B10" s="1" t="s">
        <v>5</v>
      </c>
      <c r="D10" s="26" t="s">
        <v>191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192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32244.55</v>
      </c>
      <c r="O15" s="341">
        <v>36338.339999999997</v>
      </c>
      <c r="P15" s="341">
        <f>32410.97*0.99</f>
        <v>32086.8603</v>
      </c>
      <c r="Q15" s="341">
        <f>36242.55</f>
        <v>36242.550000000003</v>
      </c>
      <c r="R15" s="339">
        <f>(N15+O15)/(P15+Q15)*100</f>
        <v>100.37096719975645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8093.7691765496511</v>
      </c>
      <c r="H16" s="81">
        <f>($P$15/$P$16*E16)+($Q$15/$Q$16*F16)</f>
        <v>8063.4362112310246</v>
      </c>
      <c r="I16" s="82">
        <f>H16-G16</f>
        <v>-30.33296531862652</v>
      </c>
      <c r="J16" s="43"/>
      <c r="K16" s="12"/>
      <c r="L16" s="12"/>
      <c r="M16" s="13"/>
      <c r="N16" s="342">
        <v>8.16</v>
      </c>
      <c r="O16" s="341">
        <v>9.3000000000000007</v>
      </c>
      <c r="P16" s="342">
        <v>8.16</v>
      </c>
      <c r="Q16" s="341">
        <v>9.3000000000000007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2161.4147017710311</v>
      </c>
      <c r="H18" s="53">
        <f t="shared" si="1"/>
        <v>2153.2227806925998</v>
      </c>
      <c r="I18" s="82">
        <f t="shared" si="2"/>
        <v>-8.1919210784312781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0.09</v>
      </c>
      <c r="F19" s="230">
        <v>0.03</v>
      </c>
      <c r="G19" s="80">
        <f t="shared" si="0"/>
        <v>472.85887073055022</v>
      </c>
      <c r="H19" s="53">
        <f t="shared" si="1"/>
        <v>470.81064609819725</v>
      </c>
      <c r="I19" s="82">
        <f t="shared" si="2"/>
        <v>-2.0482246323529694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9701.5266636622364</v>
      </c>
      <c r="H20" s="53">
        <f t="shared" si="1"/>
        <v>9665.7974849857674</v>
      </c>
      <c r="I20" s="82">
        <f t="shared" si="2"/>
        <v>-35.729178676469019</v>
      </c>
      <c r="J20" s="5"/>
      <c r="N20" s="341"/>
      <c r="O20" s="341"/>
      <c r="P20" s="341"/>
      <c r="Q20" s="341"/>
    </row>
    <row r="21" spans="2:18" ht="153">
      <c r="B21" s="102" t="s">
        <v>282</v>
      </c>
      <c r="C21" s="76" t="s">
        <v>303</v>
      </c>
      <c r="D21" s="77" t="s">
        <v>300</v>
      </c>
      <c r="E21" s="262">
        <v>3.67</v>
      </c>
      <c r="F21" s="230">
        <v>3.33</v>
      </c>
      <c r="G21" s="80">
        <f t="shared" si="0"/>
        <v>27513.614553051862</v>
      </c>
      <c r="H21" s="53">
        <f t="shared" si="1"/>
        <v>27408.39383748814</v>
      </c>
      <c r="I21" s="82">
        <f t="shared" si="2"/>
        <v>-105.22071556372248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>
        <v>14757.86</v>
      </c>
      <c r="H22" s="53">
        <v>14979.08</v>
      </c>
      <c r="I22" s="82">
        <f t="shared" si="2"/>
        <v>221.21999999999935</v>
      </c>
      <c r="J22" s="5"/>
      <c r="N22" s="341"/>
      <c r="O22" s="341"/>
      <c r="P22" s="341"/>
      <c r="Q22" s="341"/>
      <c r="R22" s="351"/>
    </row>
    <row r="23" spans="2:18" ht="123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f t="shared" si="0"/>
        <v>1689.8815191334597</v>
      </c>
      <c r="H23" s="53">
        <f t="shared" si="1"/>
        <v>1683.4670811432638</v>
      </c>
      <c r="I23" s="82">
        <f t="shared" si="2"/>
        <v>-6.4144379901958928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4.8499999999999996</v>
      </c>
      <c r="F24" s="230">
        <v>4.8499999999999996</v>
      </c>
      <c r="G24" s="80">
        <v>38329.910000000003</v>
      </c>
      <c r="H24" s="53">
        <v>7802</v>
      </c>
      <c r="I24" s="82">
        <f t="shared" si="2"/>
        <v>-30527.910000000003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1.44</v>
      </c>
      <c r="G25" s="80">
        <f t="shared" si="0"/>
        <v>8432.1736504585679</v>
      </c>
      <c r="H25" s="53">
        <f t="shared" si="1"/>
        <v>8403.6211005811183</v>
      </c>
      <c r="I25" s="82">
        <f t="shared" si="2"/>
        <v>-28.552549877449565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4230.9836588393409</v>
      </c>
      <c r="H26" s="53">
        <f t="shared" si="1"/>
        <v>4217.6034793050276</v>
      </c>
      <c r="I26" s="82">
        <f t="shared" si="2"/>
        <v>-13.380179534313356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0.79</v>
      </c>
      <c r="F27" s="106">
        <v>0.81</v>
      </c>
      <c r="G27" s="107">
        <f t="shared" si="0"/>
        <v>6286.6672058032891</v>
      </c>
      <c r="H27" s="119">
        <f t="shared" si="1"/>
        <v>6263.0576784748573</v>
      </c>
      <c r="I27" s="109">
        <f t="shared" si="2"/>
        <v>-23.609527328431795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14.95</v>
      </c>
      <c r="F28" s="113">
        <f>SUM(F16:F27)</f>
        <v>16.149999999999999</v>
      </c>
      <c r="G28" s="114">
        <f>SUM(G16:G27)</f>
        <v>121670.65999999999</v>
      </c>
      <c r="H28" s="115">
        <f>SUM(H16:H27)</f>
        <v>91110.490300000019</v>
      </c>
      <c r="I28" s="116">
        <f>H28-G28</f>
        <v>-30560.169699999969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39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121670.66</v>
      </c>
      <c r="E32" s="296"/>
      <c r="F32" s="295">
        <f>32244.55+36338.34+14757.86</f>
        <v>83340.75</v>
      </c>
      <c r="G32" s="296"/>
      <c r="H32" s="295">
        <f>G24</f>
        <v>38329.910000000003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117996.43000000002</v>
      </c>
      <c r="E33" s="296"/>
      <c r="F33" s="295">
        <f>31530.3+35533.41+13451.85</f>
        <v>80515.560000000012</v>
      </c>
      <c r="G33" s="296"/>
      <c r="H33" s="295">
        <v>37480.870000000003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91110.49029999999</v>
      </c>
      <c r="E34" s="315"/>
      <c r="F34" s="314">
        <f>H16+H17+H18+H19+H20+H21+H22+H23+H25+H26+H27</f>
        <v>83308.49029999999</v>
      </c>
      <c r="G34" s="315"/>
      <c r="H34" s="314">
        <f>H24</f>
        <v>7802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26885.939700000024</v>
      </c>
      <c r="E35" s="318"/>
      <c r="F35" s="319">
        <f>F33-F34</f>
        <v>-2792.9302999999782</v>
      </c>
      <c r="G35" s="320"/>
      <c r="H35" s="319">
        <f>H33-H34</f>
        <v>29678.870000000003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9" t="s">
        <v>267</v>
      </c>
      <c r="C36" s="259"/>
      <c r="D36" s="25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9"/>
      <c r="C37" s="259"/>
      <c r="D37" s="25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9" t="s">
        <v>268</v>
      </c>
      <c r="C38" s="259"/>
      <c r="D38" s="25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9"/>
      <c r="C39" s="259"/>
      <c r="D39" s="25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9" t="s">
        <v>269</v>
      </c>
      <c r="C40" s="259"/>
      <c r="D40" s="25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3"/>
      <c r="J41" s="62"/>
      <c r="N41" s="341"/>
      <c r="O41" s="341"/>
      <c r="P41" s="341"/>
      <c r="Q41" s="341"/>
    </row>
    <row r="42" spans="2:18">
      <c r="B42" s="259" t="s">
        <v>270</v>
      </c>
      <c r="C42" s="259"/>
      <c r="D42" s="25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E37:F37"/>
    <mergeCell ref="G37:H37"/>
    <mergeCell ref="I37:J37"/>
    <mergeCell ref="I42:J42"/>
    <mergeCell ref="I38:J38"/>
    <mergeCell ref="E39:F39"/>
    <mergeCell ref="G39:H39"/>
    <mergeCell ref="I39:J39"/>
    <mergeCell ref="E40:F40"/>
    <mergeCell ref="G40:H40"/>
    <mergeCell ref="I40:J40"/>
    <mergeCell ref="E42:F42"/>
    <mergeCell ref="G42:H42"/>
    <mergeCell ref="H35:I35"/>
    <mergeCell ref="D35:E35"/>
    <mergeCell ref="F35:G35"/>
    <mergeCell ref="E36:F36"/>
    <mergeCell ref="G36:H36"/>
    <mergeCell ref="H34:I34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43:F43"/>
    <mergeCell ref="B30:I30"/>
    <mergeCell ref="D31:E31"/>
    <mergeCell ref="E38:F38"/>
    <mergeCell ref="G38:H38"/>
    <mergeCell ref="E41:F4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</mergeCells>
  <printOptions horizontalCentered="1"/>
  <pageMargins left="0.19685039370078741" right="0.27559055118110237" top="0.15748031496062992" bottom="0.27559055118110237" header="0.31496062992125984" footer="0.23622047244094491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" style="1" customWidth="1"/>
    <col min="3" max="3" width="12.7109375" style="3" customWidth="1"/>
    <col min="4" max="4" width="8.5703125" style="3" customWidth="1"/>
    <col min="5" max="5" width="9.85546875" style="3" customWidth="1"/>
    <col min="6" max="6" width="10.28515625" style="3" customWidth="1"/>
    <col min="7" max="7" width="9.85546875" style="1" customWidth="1"/>
    <col min="8" max="8" width="10.42578125" style="1" customWidth="1"/>
    <col min="9" max="9" width="11.85546875" style="1" customWidth="1"/>
    <col min="10" max="10" width="10.7109375" style="1" bestFit="1" customWidth="1"/>
    <col min="11" max="13" width="9.140625" style="1"/>
    <col min="14" max="14" width="14.7109375" style="339" customWidth="1"/>
    <col min="15" max="15" width="14.28515625" style="339" customWidth="1"/>
    <col min="16" max="16" width="16.85546875" style="339" customWidth="1"/>
    <col min="17" max="17" width="16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4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193</v>
      </c>
      <c r="E5" s="299"/>
      <c r="F5" s="299"/>
    </row>
    <row r="6" spans="1:18">
      <c r="B6" s="1" t="s">
        <v>1</v>
      </c>
      <c r="D6" s="26">
        <v>1956</v>
      </c>
      <c r="E6" s="26"/>
      <c r="F6" s="26"/>
    </row>
    <row r="7" spans="1:18" hidden="1" outlineLevel="1">
      <c r="B7" s="1" t="s">
        <v>2</v>
      </c>
      <c r="D7" s="26">
        <v>2</v>
      </c>
      <c r="E7" s="26"/>
      <c r="F7" s="26"/>
    </row>
    <row r="8" spans="1:18" hidden="1" outlineLevel="1">
      <c r="B8" s="1" t="s">
        <v>3</v>
      </c>
      <c r="D8" s="26">
        <v>8</v>
      </c>
      <c r="E8" s="26"/>
      <c r="F8" s="26"/>
    </row>
    <row r="9" spans="1:18" ht="30.75" hidden="1" customHeight="1" outlineLevel="1">
      <c r="B9" s="2" t="s">
        <v>4</v>
      </c>
      <c r="C9" s="7"/>
      <c r="D9" s="26" t="s">
        <v>194</v>
      </c>
      <c r="E9" s="26"/>
      <c r="F9" s="26"/>
    </row>
    <row r="10" spans="1:18" collapsed="1">
      <c r="B10" s="1" t="s">
        <v>5</v>
      </c>
      <c r="D10" s="26" t="s">
        <v>195</v>
      </c>
      <c r="E10" s="26"/>
      <c r="F10" s="26"/>
      <c r="J10" s="10"/>
    </row>
    <row r="11" spans="1:18" hidden="1" outlineLevel="1">
      <c r="B11" s="1" t="s">
        <v>6</v>
      </c>
      <c r="D11" s="26" t="s">
        <v>16</v>
      </c>
      <c r="E11" s="26"/>
      <c r="F11" s="26"/>
    </row>
    <row r="12" spans="1:18" ht="30.75" hidden="1" customHeight="1" outlineLevel="1">
      <c r="B12" s="2" t="s">
        <v>7</v>
      </c>
      <c r="C12" s="7"/>
      <c r="D12" s="323" t="s">
        <v>188</v>
      </c>
      <c r="E12" s="323"/>
      <c r="F12" s="26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21839.97</v>
      </c>
      <c r="O15" s="341">
        <v>24612.560000000001</v>
      </c>
      <c r="P15" s="341">
        <f>22175.66*0.98</f>
        <v>21732.146799999999</v>
      </c>
      <c r="Q15" s="341">
        <f>24797.24*0.98</f>
        <v>24301.2952</v>
      </c>
      <c r="R15" s="339">
        <f>(N15+O15)/(P15+Q15)*100</f>
        <v>100.91039900948533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5438.31702648379</v>
      </c>
      <c r="H16" s="81">
        <f>($P$15/$P$16*E16)+($Q$15/$Q$16*F16)</f>
        <v>5390.2045143163923</v>
      </c>
      <c r="I16" s="82">
        <f>H16-G16</f>
        <v>-48.112512167397654</v>
      </c>
      <c r="J16" s="43"/>
      <c r="K16" s="12"/>
      <c r="L16" s="12"/>
      <c r="M16" s="13"/>
      <c r="N16" s="342">
        <v>8.23</v>
      </c>
      <c r="O16" s="341">
        <v>9.3699999999999992</v>
      </c>
      <c r="P16" s="342">
        <v>8.23</v>
      </c>
      <c r="Q16" s="341">
        <v>9.3699999999999992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1452.256625070836</v>
      </c>
      <c r="H18" s="53">
        <f t="shared" si="1"/>
        <v>1439.6190682291794</v>
      </c>
      <c r="I18" s="82">
        <f t="shared" si="2"/>
        <v>-12.637556841656533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0.06</v>
      </c>
      <c r="F19" s="230">
        <v>0.01</v>
      </c>
      <c r="G19" s="80">
        <f t="shared" si="0"/>
        <v>185.48954513448081</v>
      </c>
      <c r="H19" s="53">
        <f t="shared" si="1"/>
        <v>184.37127781614754</v>
      </c>
      <c r="I19" s="82">
        <f t="shared" si="2"/>
        <v>-1.1182673183332668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6518.7857118774409</v>
      </c>
      <c r="H20" s="53">
        <f t="shared" si="1"/>
        <v>6459.6686358173692</v>
      </c>
      <c r="I20" s="82">
        <f t="shared" si="2"/>
        <v>-59.117076060071668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62">
        <v>3.67</v>
      </c>
      <c r="F21" s="230">
        <v>3.33</v>
      </c>
      <c r="G21" s="80">
        <f t="shared" si="0"/>
        <v>18486.133876076154</v>
      </c>
      <c r="H21" s="53">
        <f t="shared" si="1"/>
        <v>18327.432073165954</v>
      </c>
      <c r="I21" s="82">
        <f t="shared" si="2"/>
        <v>-158.70180291020006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/>
      <c r="H22" s="53">
        <v>10248.719999999999</v>
      </c>
      <c r="I22" s="82">
        <f t="shared" si="2"/>
        <v>10248.719999999999</v>
      </c>
      <c r="J22" s="5"/>
      <c r="N22" s="341"/>
      <c r="O22" s="341"/>
      <c r="P22" s="341"/>
      <c r="Q22" s="341"/>
      <c r="R22" s="351"/>
    </row>
    <row r="23" spans="2:18" ht="123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v>10094.76</v>
      </c>
      <c r="H23" s="53">
        <f t="shared" si="1"/>
        <v>1125.5717221099369</v>
      </c>
      <c r="I23" s="82">
        <f t="shared" si="2"/>
        <v>-8969.1882778900635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4.8899999999999997</v>
      </c>
      <c r="F24" s="230">
        <v>4.8899999999999997</v>
      </c>
      <c r="G24" s="80">
        <v>25953.21</v>
      </c>
      <c r="H24" s="53">
        <v>6214</v>
      </c>
      <c r="I24" s="82">
        <f t="shared" si="2"/>
        <v>-19739.21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1.44</v>
      </c>
      <c r="G25" s="80">
        <f t="shared" si="0"/>
        <v>5666.6351919533281</v>
      </c>
      <c r="H25" s="53">
        <f t="shared" si="1"/>
        <v>5609.49752630289</v>
      </c>
      <c r="I25" s="82">
        <f t="shared" si="2"/>
        <v>-57.137665650438066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2843.620326356317</v>
      </c>
      <c r="H26" s="53">
        <f t="shared" si="1"/>
        <v>2812.773001146079</v>
      </c>
      <c r="I26" s="82">
        <f t="shared" si="2"/>
        <v>-30.847325210238068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0.89</v>
      </c>
      <c r="F27" s="106">
        <v>0.9</v>
      </c>
      <c r="G27" s="107">
        <f t="shared" si="0"/>
        <v>4725.8616501956176</v>
      </c>
      <c r="H27" s="119">
        <f t="shared" si="1"/>
        <v>4684.3041810960494</v>
      </c>
      <c r="I27" s="109">
        <f t="shared" si="2"/>
        <v>-41.557469099568152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15.060000000000002</v>
      </c>
      <c r="F28" s="113">
        <f>SUM(F16:F27)</f>
        <v>16.259999999999998</v>
      </c>
      <c r="G28" s="114">
        <f>SUM(G16:G27)</f>
        <v>81365.069953147962</v>
      </c>
      <c r="H28" s="115">
        <f>SUM(H16:H27)</f>
        <v>62496.162000000004</v>
      </c>
      <c r="I28" s="116">
        <f>H28-G28</f>
        <v>-18868.907953147958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82500.5</v>
      </c>
      <c r="E32" s="296"/>
      <c r="F32" s="295">
        <f>21839.97+24612.56+10094.76</f>
        <v>56547.29</v>
      </c>
      <c r="G32" s="296"/>
      <c r="H32" s="295">
        <f>G24</f>
        <v>25953.21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72522.649999999994</v>
      </c>
      <c r="E33" s="296"/>
      <c r="F33" s="295">
        <f>19185.42+21621.01+8917.51</f>
        <v>49723.939999999995</v>
      </c>
      <c r="G33" s="296"/>
      <c r="H33" s="295">
        <v>22798.71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62496.162000000004</v>
      </c>
      <c r="E34" s="315"/>
      <c r="F34" s="314">
        <f>H16+H17+H18+H19+H20+H21+H22+H23+H25+H26+H27</f>
        <v>56282.162000000004</v>
      </c>
      <c r="G34" s="315"/>
      <c r="H34" s="314">
        <f>H24</f>
        <v>6214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10026.48799999999</v>
      </c>
      <c r="E35" s="318"/>
      <c r="F35" s="319">
        <f>F33-F34</f>
        <v>-6558.2220000000088</v>
      </c>
      <c r="G35" s="320"/>
      <c r="H35" s="319">
        <f>H33-H34</f>
        <v>16584.71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9" t="s">
        <v>267</v>
      </c>
      <c r="C36" s="259"/>
      <c r="D36" s="25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9"/>
      <c r="C37" s="259"/>
      <c r="D37" s="25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9" t="s">
        <v>268</v>
      </c>
      <c r="C38" s="259"/>
      <c r="D38" s="25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9"/>
      <c r="C39" s="259"/>
      <c r="D39" s="25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9" t="s">
        <v>269</v>
      </c>
      <c r="C40" s="259"/>
      <c r="D40" s="25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3"/>
      <c r="J41" s="62"/>
      <c r="N41" s="341"/>
      <c r="O41" s="341"/>
      <c r="P41" s="341"/>
      <c r="Q41" s="341"/>
    </row>
    <row r="42" spans="2:18">
      <c r="B42" s="259" t="s">
        <v>270</v>
      </c>
      <c r="C42" s="259"/>
      <c r="D42" s="25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12" customHeight="1">
      <c r="E43" s="285" t="s">
        <v>12</v>
      </c>
      <c r="F43" s="285"/>
    </row>
  </sheetData>
  <mergeCells count="46">
    <mergeCell ref="I40:J40"/>
    <mergeCell ref="E41:F41"/>
    <mergeCell ref="E42:F42"/>
    <mergeCell ref="G42:H42"/>
    <mergeCell ref="I42:J42"/>
    <mergeCell ref="E40:F40"/>
    <mergeCell ref="G40:H40"/>
    <mergeCell ref="I37:J37"/>
    <mergeCell ref="E38:F38"/>
    <mergeCell ref="G38:H38"/>
    <mergeCell ref="I38:J38"/>
    <mergeCell ref="E39:F39"/>
    <mergeCell ref="G39:H39"/>
    <mergeCell ref="I39:J39"/>
    <mergeCell ref="F33:G33"/>
    <mergeCell ref="E36:F36"/>
    <mergeCell ref="G36:H36"/>
    <mergeCell ref="E37:F37"/>
    <mergeCell ref="G37:H37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E43:F43"/>
    <mergeCell ref="B30:I30"/>
    <mergeCell ref="D31:E31"/>
    <mergeCell ref="F31:G31"/>
    <mergeCell ref="H31:I31"/>
    <mergeCell ref="D32:E32"/>
    <mergeCell ref="F32:G32"/>
    <mergeCell ref="H32:I32"/>
    <mergeCell ref="H33:I33"/>
    <mergeCell ref="D34:E34"/>
    <mergeCell ref="F34:G34"/>
    <mergeCell ref="H34:I34"/>
    <mergeCell ref="D35:E35"/>
    <mergeCell ref="F35:G35"/>
    <mergeCell ref="H35:I35"/>
    <mergeCell ref="D33:E33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41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.5703125" style="1" customWidth="1"/>
    <col min="3" max="3" width="12" style="3" customWidth="1"/>
    <col min="4" max="4" width="9.42578125" style="3" customWidth="1"/>
    <col min="5" max="5" width="9.85546875" style="3" customWidth="1"/>
    <col min="6" max="6" width="10.28515625" style="3" customWidth="1"/>
    <col min="7" max="7" width="9.7109375" style="1" customWidth="1"/>
    <col min="8" max="8" width="10.42578125" style="1" customWidth="1"/>
    <col min="9" max="9" width="11.28515625" style="1" customWidth="1"/>
    <col min="10" max="10" width="10.7109375" style="1" bestFit="1" customWidth="1"/>
    <col min="11" max="11" width="9.140625" style="1"/>
    <col min="12" max="13" width="12" style="1" customWidth="1"/>
    <col min="14" max="14" width="11.85546875" style="339" customWidth="1"/>
    <col min="15" max="15" width="13.140625" style="339" customWidth="1"/>
    <col min="16" max="17" width="13.425781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196</v>
      </c>
      <c r="E5" s="299"/>
      <c r="F5" s="299"/>
    </row>
    <row r="6" spans="1:18">
      <c r="B6" s="1" t="s">
        <v>1</v>
      </c>
      <c r="D6" s="27">
        <v>1950</v>
      </c>
      <c r="E6" s="27"/>
      <c r="F6" s="27"/>
    </row>
    <row r="7" spans="1:18" hidden="1" outlineLevel="1">
      <c r="B7" s="1" t="s">
        <v>2</v>
      </c>
      <c r="D7" s="27">
        <v>2</v>
      </c>
      <c r="E7" s="27"/>
      <c r="F7" s="27"/>
    </row>
    <row r="8" spans="1:18" hidden="1" outlineLevel="1">
      <c r="B8" s="1" t="s">
        <v>3</v>
      </c>
      <c r="D8" s="27">
        <v>8</v>
      </c>
      <c r="E8" s="27"/>
      <c r="F8" s="27"/>
    </row>
    <row r="9" spans="1:18" ht="30.75" hidden="1" customHeight="1" outlineLevel="1">
      <c r="B9" s="2" t="s">
        <v>4</v>
      </c>
      <c r="C9" s="7"/>
      <c r="D9" s="27" t="s">
        <v>197</v>
      </c>
      <c r="E9" s="27"/>
      <c r="F9" s="27"/>
    </row>
    <row r="10" spans="1:18" collapsed="1">
      <c r="B10" s="1" t="s">
        <v>5</v>
      </c>
      <c r="D10" s="27" t="s">
        <v>198</v>
      </c>
      <c r="E10" s="27"/>
      <c r="F10" s="27"/>
      <c r="J10" s="10"/>
    </row>
    <row r="11" spans="1:18" hidden="1" outlineLevel="1">
      <c r="B11" s="1" t="s">
        <v>6</v>
      </c>
      <c r="D11" s="27" t="s">
        <v>16</v>
      </c>
      <c r="E11" s="27"/>
      <c r="F11" s="27"/>
    </row>
    <row r="12" spans="1:18" ht="30.75" hidden="1" customHeight="1" outlineLevel="1">
      <c r="B12" s="2" t="s">
        <v>7</v>
      </c>
      <c r="C12" s="7"/>
      <c r="D12" s="323" t="s">
        <v>188</v>
      </c>
      <c r="E12" s="323"/>
      <c r="F12" s="27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22827.08</v>
      </c>
      <c r="O15" s="341">
        <v>25340.46</v>
      </c>
      <c r="P15" s="341">
        <v>22180.74</v>
      </c>
      <c r="Q15" s="341">
        <v>24802.91</v>
      </c>
      <c r="R15" s="339">
        <f>(N15+O15)/(P15+Q15)*100</f>
        <v>102.51979145936939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5464.9949153037387</v>
      </c>
      <c r="H16" s="81">
        <f>($P$15/$P$16*E16)+($Q$15/$Q$16*F16)</f>
        <v>5329.9383046144867</v>
      </c>
      <c r="I16" s="82">
        <f>H16-G16</f>
        <v>-135.05661068925201</v>
      </c>
      <c r="J16" s="43"/>
      <c r="K16" s="12"/>
      <c r="L16" s="12"/>
      <c r="M16" s="13"/>
      <c r="N16" s="342">
        <v>8.56</v>
      </c>
      <c r="O16" s="341">
        <v>9.6</v>
      </c>
      <c r="P16" s="342">
        <v>8.56</v>
      </c>
      <c r="Q16" s="341">
        <v>9.6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1.1299999999999999</v>
      </c>
      <c r="F17" s="230">
        <v>1.17</v>
      </c>
      <c r="G17" s="80">
        <f t="shared" ref="G17:G27" si="0">($N$15/$N$16*E17)+($O$15/$O$16*F17)</f>
        <v>6101.756459696262</v>
      </c>
      <c r="H17" s="53">
        <f t="shared" ref="H17:H27" si="1">($P$15/$P$16*E17)+($Q$15/$Q$16*F17)</f>
        <v>5950.9196328855141</v>
      </c>
      <c r="I17" s="82">
        <f t="shared" ref="I17:I27" si="2">H17-G17</f>
        <v>-150.83682681074788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1459.380624415888</v>
      </c>
      <c r="H18" s="53">
        <f t="shared" si="1"/>
        <v>1423.1200680490656</v>
      </c>
      <c r="I18" s="82">
        <f t="shared" si="2"/>
        <v>-36.260556366822357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0.03</v>
      </c>
      <c r="F19" s="230">
        <v>0.03</v>
      </c>
      <c r="G19" s="80">
        <f t="shared" si="0"/>
        <v>159.19038609813083</v>
      </c>
      <c r="H19" s="53">
        <f t="shared" si="1"/>
        <v>155.24533206775703</v>
      </c>
      <c r="I19" s="82">
        <f t="shared" si="2"/>
        <v>-3.9450540303737966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6550.7646092289724</v>
      </c>
      <c r="H20" s="53">
        <f t="shared" si="1"/>
        <v>6390.2135456581</v>
      </c>
      <c r="I20" s="82">
        <f t="shared" si="2"/>
        <v>-160.55106357087243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62">
        <v>3.67</v>
      </c>
      <c r="F21" s="230">
        <v>3.21</v>
      </c>
      <c r="G21" s="80">
        <f t="shared" si="0"/>
        <v>18260.060191004672</v>
      </c>
      <c r="H21" s="53">
        <f t="shared" si="1"/>
        <v>17803.206185455609</v>
      </c>
      <c r="I21" s="82">
        <f t="shared" si="2"/>
        <v>-456.854005549063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>
        <v>10166.4</v>
      </c>
      <c r="H22" s="53">
        <v>10251.06</v>
      </c>
      <c r="I22" s="82">
        <f t="shared" si="2"/>
        <v>84.659999999999854</v>
      </c>
      <c r="J22" s="5"/>
      <c r="N22" s="341"/>
      <c r="O22" s="341"/>
      <c r="P22" s="341"/>
      <c r="Q22" s="341"/>
      <c r="R22" s="351"/>
    </row>
    <row r="23" spans="2:18" ht="123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f t="shared" si="0"/>
        <v>1140.9998522196261</v>
      </c>
      <c r="H23" s="53">
        <f t="shared" si="1"/>
        <v>1112.6294039135514</v>
      </c>
      <c r="I23" s="82">
        <f t="shared" si="2"/>
        <v>-28.37044830607465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1.75</v>
      </c>
      <c r="F24" s="230">
        <v>2.5</v>
      </c>
      <c r="G24" s="80">
        <v>11333.54</v>
      </c>
      <c r="H24" s="53">
        <v>50841</v>
      </c>
      <c r="I24" s="82">
        <f t="shared" si="2"/>
        <v>39507.46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1.44</v>
      </c>
      <c r="G25" s="80">
        <f t="shared" si="0"/>
        <v>5694.4366168224296</v>
      </c>
      <c r="H25" s="53">
        <f t="shared" si="1"/>
        <v>5560.1941401869153</v>
      </c>
      <c r="I25" s="82">
        <f t="shared" si="2"/>
        <v>-134.24247663551432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2857.572675817757</v>
      </c>
      <c r="H26" s="53">
        <f t="shared" si="1"/>
        <v>2792.2202463979752</v>
      </c>
      <c r="I26" s="82">
        <f t="shared" si="2"/>
        <v>-65.352429419781856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0.12</v>
      </c>
      <c r="F27" s="106">
        <v>0.06</v>
      </c>
      <c r="G27" s="107">
        <f t="shared" si="0"/>
        <v>478.38366939252342</v>
      </c>
      <c r="H27" s="119">
        <f t="shared" si="1"/>
        <v>465.96314077102807</v>
      </c>
      <c r="I27" s="109">
        <f t="shared" si="2"/>
        <v>-12.42052862149535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12.249999999999998</v>
      </c>
      <c r="F28" s="113">
        <f>SUM(F16:F27)</f>
        <v>14.1</v>
      </c>
      <c r="G28" s="114">
        <f>SUM(G16:G27)</f>
        <v>69667.48000000001</v>
      </c>
      <c r="H28" s="115">
        <f>SUM(H16:H27)</f>
        <v>108075.70999999999</v>
      </c>
      <c r="I28" s="116">
        <f>H28-G28</f>
        <v>38408.229999999981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2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69667.48000000001</v>
      </c>
      <c r="E32" s="296"/>
      <c r="F32" s="295">
        <f>22827.08+25340.46+10166.4</f>
        <v>58333.94</v>
      </c>
      <c r="G32" s="296"/>
      <c r="H32" s="295">
        <f>G24</f>
        <v>11333.54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72672.38</v>
      </c>
      <c r="E33" s="296"/>
      <c r="F33" s="295">
        <f>23810.27+26431.91+10608.51</f>
        <v>60850.69</v>
      </c>
      <c r="G33" s="296"/>
      <c r="H33" s="295">
        <v>11821.69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108075.71</v>
      </c>
      <c r="E34" s="315"/>
      <c r="F34" s="314">
        <f>H16+H17+H18+H19+H20+H21+H22+H23+H25+H26+H27</f>
        <v>57234.710000000006</v>
      </c>
      <c r="G34" s="315"/>
      <c r="H34" s="314">
        <f>H24</f>
        <v>50841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-35403.33</v>
      </c>
      <c r="E35" s="318"/>
      <c r="F35" s="319">
        <f>F33-F34</f>
        <v>3615.9799999999959</v>
      </c>
      <c r="G35" s="320"/>
      <c r="H35" s="319">
        <f>H33-H34</f>
        <v>-39019.31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9" t="s">
        <v>267</v>
      </c>
      <c r="C36" s="259"/>
      <c r="D36" s="25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9"/>
      <c r="C37" s="259"/>
      <c r="D37" s="25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9" t="s">
        <v>268</v>
      </c>
      <c r="C38" s="259"/>
      <c r="D38" s="25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9"/>
      <c r="C39" s="259"/>
      <c r="D39" s="25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9" t="s">
        <v>269</v>
      </c>
      <c r="C40" s="259"/>
      <c r="D40" s="25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3"/>
      <c r="J41" s="62"/>
      <c r="N41" s="341"/>
      <c r="O41" s="341"/>
      <c r="P41" s="341"/>
      <c r="Q41" s="341"/>
    </row>
    <row r="42" spans="2:18">
      <c r="B42" s="259" t="s">
        <v>270</v>
      </c>
      <c r="C42" s="259"/>
      <c r="D42" s="25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I40:J40"/>
    <mergeCell ref="E41:F41"/>
    <mergeCell ref="E42:F42"/>
    <mergeCell ref="G42:H42"/>
    <mergeCell ref="I42:J42"/>
    <mergeCell ref="E40:F40"/>
    <mergeCell ref="G40:H40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D35:E35"/>
    <mergeCell ref="F35:G35"/>
    <mergeCell ref="H35:I35"/>
    <mergeCell ref="E36:F36"/>
    <mergeCell ref="G36:H36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E43:F43"/>
    <mergeCell ref="D5:F5"/>
    <mergeCell ref="D12:E12"/>
    <mergeCell ref="B30:I30"/>
    <mergeCell ref="H32:I32"/>
    <mergeCell ref="D33:E33"/>
    <mergeCell ref="F33:G33"/>
    <mergeCell ref="H33:I33"/>
    <mergeCell ref="D34:E34"/>
    <mergeCell ref="F34:G34"/>
    <mergeCell ref="D31:E31"/>
    <mergeCell ref="F31:G31"/>
    <mergeCell ref="H31:I31"/>
    <mergeCell ref="D32:E32"/>
    <mergeCell ref="F32:G32"/>
    <mergeCell ref="H34:I34"/>
  </mergeCells>
  <printOptions horizontalCentered="1"/>
  <pageMargins left="0.19685039370078741" right="0.23622047244094491" top="0.15748031496062992" bottom="0.31496062992125984" header="0.31496062992125984" footer="0.31496062992125984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1.7109375" style="1" customWidth="1"/>
    <col min="3" max="3" width="12.28515625" style="3" customWidth="1"/>
    <col min="4" max="4" width="8.42578125" style="3" customWidth="1"/>
    <col min="5" max="5" width="10.140625" style="3" customWidth="1"/>
    <col min="6" max="6" width="10.28515625" style="3" customWidth="1"/>
    <col min="7" max="7" width="8.85546875" style="1" customWidth="1"/>
    <col min="8" max="8" width="10.28515625" style="1" customWidth="1"/>
    <col min="9" max="9" width="11.28515625" style="1" customWidth="1"/>
    <col min="10" max="10" width="10.7109375" style="1" bestFit="1" customWidth="1"/>
    <col min="11" max="13" width="9.140625" style="1"/>
    <col min="14" max="16" width="12.42578125" style="339" customWidth="1"/>
    <col min="17" max="17" width="12.140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3.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199</v>
      </c>
      <c r="E5" s="299"/>
      <c r="F5" s="299"/>
    </row>
    <row r="6" spans="1:18">
      <c r="B6" s="1" t="s">
        <v>1</v>
      </c>
      <c r="D6" s="27">
        <v>1957</v>
      </c>
      <c r="E6" s="27"/>
      <c r="F6" s="27"/>
    </row>
    <row r="7" spans="1:18" hidden="1" outlineLevel="1">
      <c r="B7" s="1" t="s">
        <v>2</v>
      </c>
      <c r="D7" s="27">
        <v>2</v>
      </c>
      <c r="E7" s="27"/>
      <c r="F7" s="27"/>
    </row>
    <row r="8" spans="1:18" hidden="1" outlineLevel="1">
      <c r="B8" s="1" t="s">
        <v>3</v>
      </c>
      <c r="D8" s="27">
        <v>8</v>
      </c>
      <c r="E8" s="27"/>
      <c r="F8" s="27"/>
    </row>
    <row r="9" spans="1:18" ht="30.75" hidden="1" customHeight="1" outlineLevel="1">
      <c r="B9" s="2" t="s">
        <v>4</v>
      </c>
      <c r="C9" s="7"/>
      <c r="D9" s="27" t="s">
        <v>115</v>
      </c>
      <c r="E9" s="27"/>
      <c r="F9" s="27"/>
    </row>
    <row r="10" spans="1:18" collapsed="1">
      <c r="B10" s="1" t="s">
        <v>5</v>
      </c>
      <c r="D10" s="38" t="s">
        <v>263</v>
      </c>
      <c r="E10" s="27"/>
      <c r="F10" s="27"/>
      <c r="J10" s="10"/>
    </row>
    <row r="11" spans="1:18" hidden="1" outlineLevel="1">
      <c r="B11" s="1" t="s">
        <v>6</v>
      </c>
      <c r="D11" s="27" t="s">
        <v>16</v>
      </c>
      <c r="E11" s="27"/>
      <c r="F11" s="27"/>
    </row>
    <row r="12" spans="1:18" ht="30.75" hidden="1" customHeight="1" outlineLevel="1">
      <c r="B12" s="2" t="s">
        <v>7</v>
      </c>
      <c r="C12" s="7"/>
      <c r="D12" s="323" t="s">
        <v>117</v>
      </c>
      <c r="E12" s="323"/>
      <c r="F12" s="27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22840.9</v>
      </c>
      <c r="O15" s="341">
        <v>25538.2</v>
      </c>
      <c r="P15" s="341">
        <v>22099.54</v>
      </c>
      <c r="Q15" s="341">
        <v>24712.12</v>
      </c>
      <c r="R15" s="339">
        <f>(N15+O15)/(P15+Q15)*100</f>
        <v>103.34839653197517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5450.0449119690838</v>
      </c>
      <c r="H16" s="81">
        <f>($P$15/$P$16*E16)+($Q$15/$Q$16*F16)</f>
        <v>5273.4558251623203</v>
      </c>
      <c r="I16" s="82">
        <f>H16-G16</f>
        <v>-176.58908680676359</v>
      </c>
      <c r="J16" s="43"/>
      <c r="K16" s="12"/>
      <c r="L16" s="12"/>
      <c r="M16" s="13"/>
      <c r="N16" s="342">
        <v>8.59</v>
      </c>
      <c r="O16" s="341">
        <v>9.6999999999999993</v>
      </c>
      <c r="P16" s="342">
        <v>8.59</v>
      </c>
      <c r="Q16" s="341">
        <v>9.6999999999999993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1.1299999999999999</v>
      </c>
      <c r="F17" s="230">
        <v>1.17</v>
      </c>
      <c r="G17" s="80">
        <f t="shared" ref="G17:G27" si="0">($N$15/$N$16*E17)+($O$15/$O$16*F17)</f>
        <v>6085.0626640903474</v>
      </c>
      <c r="H17" s="53">
        <f t="shared" ref="H17:H27" si="1">($P$15/$P$16*E17)+($Q$15/$Q$16*F17)</f>
        <v>5887.8974301933431</v>
      </c>
      <c r="I17" s="82">
        <f t="shared" ref="I17:I27" si="2">H17-G17</f>
        <v>-197.16523389700433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1455.3800470458339</v>
      </c>
      <c r="H18" s="53">
        <f t="shared" si="1"/>
        <v>1408.2206660345882</v>
      </c>
      <c r="I18" s="82">
        <f t="shared" si="2"/>
        <v>-47.159381011245614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0.03</v>
      </c>
      <c r="F19" s="230">
        <v>0.02</v>
      </c>
      <c r="G19" s="80">
        <f t="shared" si="0"/>
        <v>132.42639679320237</v>
      </c>
      <c r="H19" s="53">
        <f t="shared" si="1"/>
        <v>128.13398888662195</v>
      </c>
      <c r="I19" s="82">
        <f t="shared" si="2"/>
        <v>-4.2924079065804222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6532.9014286571537</v>
      </c>
      <c r="H20" s="53">
        <f t="shared" si="1"/>
        <v>6321.2470828462729</v>
      </c>
      <c r="I20" s="82">
        <f t="shared" si="2"/>
        <v>-211.65434581088084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62">
        <v>3.67</v>
      </c>
      <c r="F21" s="230">
        <v>3.22</v>
      </c>
      <c r="G21" s="80">
        <f t="shared" si="0"/>
        <v>18236.197730038526</v>
      </c>
      <c r="H21" s="53">
        <f t="shared" si="1"/>
        <v>17645.233863831116</v>
      </c>
      <c r="I21" s="82">
        <f t="shared" si="2"/>
        <v>-590.96386620741032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>
        <v>10087.92</v>
      </c>
      <c r="H22" s="53">
        <v>10213.540000000001</v>
      </c>
      <c r="I22" s="82">
        <f t="shared" si="2"/>
        <v>125.6200000000008</v>
      </c>
      <c r="J22" s="5"/>
      <c r="N22" s="341"/>
      <c r="O22" s="341"/>
      <c r="P22" s="341"/>
      <c r="Q22" s="341"/>
      <c r="R22" s="351"/>
    </row>
    <row r="23" spans="2:18" ht="123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f t="shared" si="0"/>
        <v>1137.8711709852023</v>
      </c>
      <c r="H23" s="53">
        <f t="shared" si="1"/>
        <v>1100.9998635190764</v>
      </c>
      <c r="I23" s="82">
        <f t="shared" si="2"/>
        <v>-36.871307466125927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4.1500000000000004</v>
      </c>
      <c r="F24" s="230">
        <v>4.1500000000000004</v>
      </c>
      <c r="G24" s="80">
        <v>22069.78</v>
      </c>
      <c r="H24" s="53">
        <v>36418</v>
      </c>
      <c r="I24" s="82">
        <f t="shared" si="2"/>
        <v>14348.220000000001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1.44</v>
      </c>
      <c r="G25" s="80">
        <f t="shared" si="0"/>
        <v>5679.1353770267515</v>
      </c>
      <c r="H25" s="53">
        <f t="shared" si="1"/>
        <v>5495.2242661930077</v>
      </c>
      <c r="I25" s="82">
        <f t="shared" si="2"/>
        <v>-183.91111083374381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2849.9800420052088</v>
      </c>
      <c r="H26" s="53">
        <f t="shared" si="1"/>
        <v>2757.7185946737391</v>
      </c>
      <c r="I26" s="82">
        <f t="shared" si="2"/>
        <v>-92.261447331469753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0.15</v>
      </c>
      <c r="F27" s="106">
        <v>0.16</v>
      </c>
      <c r="G27" s="107">
        <f t="shared" si="0"/>
        <v>820.10023138869224</v>
      </c>
      <c r="H27" s="119">
        <f t="shared" si="1"/>
        <v>793.52841865991388</v>
      </c>
      <c r="I27" s="109">
        <f t="shared" si="2"/>
        <v>-26.571812728778355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14.680000000000001</v>
      </c>
      <c r="F28" s="113">
        <f>SUM(F16:F27)</f>
        <v>15.850000000000001</v>
      </c>
      <c r="G28" s="114">
        <f>SUM(G16:G27)</f>
        <v>80536.799999999988</v>
      </c>
      <c r="H28" s="115">
        <f>SUM(H16:H27)</f>
        <v>93443.200000000012</v>
      </c>
      <c r="I28" s="116">
        <f>H28-G28</f>
        <v>12906.400000000023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2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80536.800000000003</v>
      </c>
      <c r="E32" s="296"/>
      <c r="F32" s="295">
        <f>22840.9+25538.2+10087.92</f>
        <v>58467.020000000004</v>
      </c>
      <c r="G32" s="296"/>
      <c r="H32" s="295">
        <f>G24</f>
        <v>22069.78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85252.7</v>
      </c>
      <c r="E33" s="296"/>
      <c r="F33" s="295">
        <f>24501.14+27394.5+9683.08</f>
        <v>61578.720000000001</v>
      </c>
      <c r="G33" s="296"/>
      <c r="H33" s="295">
        <v>23673.98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93443.200000000012</v>
      </c>
      <c r="E34" s="315"/>
      <c r="F34" s="314">
        <f>H16+H17+H18+H19+H20+H21+H22+H23+H25+H26+H27</f>
        <v>57025.200000000004</v>
      </c>
      <c r="G34" s="315"/>
      <c r="H34" s="314">
        <f>H24</f>
        <v>36418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-8190.5000000000036</v>
      </c>
      <c r="E35" s="318"/>
      <c r="F35" s="319">
        <f>F33-F34</f>
        <v>4553.5199999999968</v>
      </c>
      <c r="G35" s="320"/>
      <c r="H35" s="319">
        <f>H33-H34</f>
        <v>-12744.02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9" t="s">
        <v>267</v>
      </c>
      <c r="C36" s="259"/>
      <c r="D36" s="25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9"/>
      <c r="C37" s="259"/>
      <c r="D37" s="25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9" t="s">
        <v>268</v>
      </c>
      <c r="C38" s="259"/>
      <c r="D38" s="25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9"/>
      <c r="C39" s="259"/>
      <c r="D39" s="25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9" t="s">
        <v>269</v>
      </c>
      <c r="C40" s="259"/>
      <c r="D40" s="25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3"/>
      <c r="J41" s="62"/>
      <c r="N41" s="341"/>
      <c r="O41" s="341"/>
      <c r="P41" s="341"/>
      <c r="Q41" s="341"/>
    </row>
    <row r="42" spans="2:18">
      <c r="B42" s="259" t="s">
        <v>270</v>
      </c>
      <c r="C42" s="259"/>
      <c r="D42" s="25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I42:J42"/>
    <mergeCell ref="E43:F43"/>
    <mergeCell ref="I39:J39"/>
    <mergeCell ref="E40:F40"/>
    <mergeCell ref="G40:H40"/>
    <mergeCell ref="I40:J40"/>
    <mergeCell ref="E41:F41"/>
    <mergeCell ref="E39:F39"/>
    <mergeCell ref="G39:H39"/>
    <mergeCell ref="E42:F42"/>
    <mergeCell ref="G42:H42"/>
    <mergeCell ref="E37:F37"/>
    <mergeCell ref="G37:H37"/>
    <mergeCell ref="I37:J37"/>
    <mergeCell ref="E38:F38"/>
    <mergeCell ref="G38:H38"/>
    <mergeCell ref="I38:J38"/>
    <mergeCell ref="H34:I34"/>
    <mergeCell ref="D35:E35"/>
    <mergeCell ref="F35:G35"/>
    <mergeCell ref="H35:I35"/>
    <mergeCell ref="E36:F36"/>
    <mergeCell ref="G36:H36"/>
    <mergeCell ref="D34:E34"/>
    <mergeCell ref="F34:G34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H32:I32"/>
    <mergeCell ref="D33:E33"/>
    <mergeCell ref="F33:G33"/>
    <mergeCell ref="H33:I33"/>
    <mergeCell ref="D31:E31"/>
    <mergeCell ref="F31:G31"/>
    <mergeCell ref="H31:I31"/>
    <mergeCell ref="D32:E32"/>
    <mergeCell ref="F32:G32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4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1.7109375" style="1" customWidth="1"/>
    <col min="3" max="3" width="12.7109375" style="3" customWidth="1"/>
    <col min="4" max="4" width="9.85546875" style="3" customWidth="1"/>
    <col min="5" max="5" width="11" style="3" customWidth="1"/>
    <col min="6" max="6" width="10.28515625" style="3" customWidth="1"/>
    <col min="7" max="7" width="9.5703125" style="1" customWidth="1"/>
    <col min="8" max="8" width="10.28515625" style="1" customWidth="1"/>
    <col min="9" max="9" width="13.28515625" style="1" customWidth="1"/>
    <col min="10" max="10" width="10.7109375" style="1" bestFit="1" customWidth="1"/>
    <col min="11" max="13" width="9.140625" style="1"/>
    <col min="14" max="14" width="13.140625" style="339" customWidth="1"/>
    <col min="15" max="15" width="11.85546875" style="339" customWidth="1"/>
    <col min="16" max="16" width="12.5703125" style="339" customWidth="1"/>
    <col min="17" max="17" width="12.140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3.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200</v>
      </c>
      <c r="E5" s="299"/>
      <c r="F5" s="299"/>
    </row>
    <row r="6" spans="1:18">
      <c r="B6" s="1" t="s">
        <v>1</v>
      </c>
      <c r="D6" s="28">
        <v>1963</v>
      </c>
      <c r="E6" s="28"/>
      <c r="F6" s="28"/>
    </row>
    <row r="7" spans="1:18" hidden="1" outlineLevel="1">
      <c r="B7" s="1" t="s">
        <v>2</v>
      </c>
      <c r="D7" s="260">
        <v>2</v>
      </c>
      <c r="E7" s="260"/>
      <c r="F7" s="260"/>
    </row>
    <row r="8" spans="1:18" hidden="1" outlineLevel="1">
      <c r="B8" s="1" t="s">
        <v>3</v>
      </c>
      <c r="D8" s="260">
        <v>16</v>
      </c>
      <c r="E8" s="260"/>
      <c r="F8" s="260"/>
    </row>
    <row r="9" spans="1:18" ht="30.75" hidden="1" customHeight="1" outlineLevel="1">
      <c r="B9" s="2" t="s">
        <v>4</v>
      </c>
      <c r="C9" s="7"/>
      <c r="D9" s="260" t="s">
        <v>201</v>
      </c>
      <c r="E9" s="260"/>
      <c r="F9" s="260"/>
    </row>
    <row r="10" spans="1:18" collapsed="1">
      <c r="B10" s="1" t="s">
        <v>5</v>
      </c>
      <c r="D10" s="36" t="s">
        <v>254</v>
      </c>
      <c r="E10" s="28"/>
      <c r="F10" s="28"/>
      <c r="J10" s="10"/>
    </row>
    <row r="11" spans="1:18" hidden="1" outlineLevel="1">
      <c r="B11" s="1" t="s">
        <v>6</v>
      </c>
      <c r="D11" s="28" t="s">
        <v>16</v>
      </c>
      <c r="E11" s="28"/>
      <c r="F11" s="28"/>
    </row>
    <row r="12" spans="1:18" ht="30.75" hidden="1" customHeight="1" outlineLevel="1">
      <c r="B12" s="2" t="s">
        <v>7</v>
      </c>
      <c r="C12" s="7"/>
      <c r="D12" s="323" t="s">
        <v>202</v>
      </c>
      <c r="E12" s="323"/>
      <c r="F12" s="28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30075.71</v>
      </c>
      <c r="O15" s="341">
        <v>33914.519999999997</v>
      </c>
      <c r="P15" s="341">
        <f>31035.78*0.97</f>
        <v>30104.706599999998</v>
      </c>
      <c r="Q15" s="341">
        <f>34704.78*0.97</f>
        <v>33663.636599999998</v>
      </c>
      <c r="R15" s="339">
        <f>(N15+O15)/(P15+Q15)*100</f>
        <v>100.3479576053969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7737.972342826467</v>
      </c>
      <c r="H16" s="81">
        <f>($P$15/$P$16*E16)+($Q$15/$Q$16*F16)</f>
        <v>7712.6397127443379</v>
      </c>
      <c r="I16" s="82">
        <f>H16-G16</f>
        <v>-25.332630082129072</v>
      </c>
      <c r="J16" s="43"/>
      <c r="K16" s="12"/>
      <c r="L16" s="12"/>
      <c r="M16" s="13"/>
      <c r="N16" s="342">
        <v>7.96</v>
      </c>
      <c r="O16" s="341">
        <v>9.08</v>
      </c>
      <c r="P16" s="342">
        <v>7.96</v>
      </c>
      <c r="Q16" s="341">
        <v>9.08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0</v>
      </c>
      <c r="F17" s="230">
        <v>0</v>
      </c>
      <c r="G17" s="80">
        <f t="shared" ref="G17:G27" si="0">($N$15/$N$16*E17)+($O$15/$O$16*F17)</f>
        <v>0</v>
      </c>
      <c r="H17" s="53">
        <f t="shared" ref="H17:H27" si="1">($P$15/$P$16*E17)+($Q$15/$Q$16*F17)</f>
        <v>0</v>
      </c>
      <c r="I17" s="82">
        <f t="shared" ref="I17:I27" si="2">H17-G17</f>
        <v>0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2066.4109574303238</v>
      </c>
      <c r="H18" s="53">
        <f t="shared" si="1"/>
        <v>2059.9707491277977</v>
      </c>
      <c r="I18" s="82">
        <f t="shared" si="2"/>
        <v>-6.4402083025261163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0.05</v>
      </c>
      <c r="F19" s="230">
        <v>0.04</v>
      </c>
      <c r="G19" s="80">
        <f t="shared" si="0"/>
        <v>338.32094818807695</v>
      </c>
      <c r="H19" s="53">
        <f t="shared" si="1"/>
        <v>337.39787441945407</v>
      </c>
      <c r="I19" s="82">
        <f t="shared" si="2"/>
        <v>-0.92307376862288493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9274.9807640626022</v>
      </c>
      <c r="H20" s="53">
        <f t="shared" si="1"/>
        <v>9242.3852040322745</v>
      </c>
      <c r="I20" s="82">
        <f t="shared" si="2"/>
        <v>-32.595560030327761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62">
        <v>3.67</v>
      </c>
      <c r="F21" s="230">
        <v>3.33</v>
      </c>
      <c r="G21" s="80">
        <f t="shared" si="0"/>
        <v>26304.378839295598</v>
      </c>
      <c r="H21" s="53">
        <f t="shared" si="1"/>
        <v>26225.738874502465</v>
      </c>
      <c r="I21" s="82">
        <f t="shared" si="2"/>
        <v>-78.639964793132094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>
        <v>14128.08</v>
      </c>
      <c r="H22" s="53">
        <v>14343.52</v>
      </c>
      <c r="I22" s="82">
        <f t="shared" si="2"/>
        <v>215.44000000000051</v>
      </c>
      <c r="J22" s="5"/>
      <c r="N22" s="341"/>
      <c r="O22" s="341"/>
      <c r="P22" s="341"/>
      <c r="Q22" s="341"/>
      <c r="R22" s="351"/>
    </row>
    <row r="23" spans="2:18" ht="123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f t="shared" si="0"/>
        <v>1615.604868062781</v>
      </c>
      <c r="H23" s="53">
        <f t="shared" si="1"/>
        <v>1610.6039122473601</v>
      </c>
      <c r="I23" s="82">
        <f t="shared" si="2"/>
        <v>-5.0009558154208662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4.8</v>
      </c>
      <c r="F24" s="230">
        <v>4.8</v>
      </c>
      <c r="G24" s="80">
        <v>36272.21</v>
      </c>
      <c r="H24" s="53">
        <v>11912</v>
      </c>
      <c r="I24" s="82">
        <f t="shared" si="2"/>
        <v>-24360.21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1.44</v>
      </c>
      <c r="G25" s="80">
        <f t="shared" si="0"/>
        <v>8061.1466096451413</v>
      </c>
      <c r="H25" s="53">
        <f t="shared" si="1"/>
        <v>8023.9453140249698</v>
      </c>
      <c r="I25" s="82">
        <f t="shared" si="2"/>
        <v>-37.20129562017155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4044.7046968875206</v>
      </c>
      <c r="H26" s="53">
        <f t="shared" si="1"/>
        <v>4022.682219894627</v>
      </c>
      <c r="I26" s="82">
        <f t="shared" si="2"/>
        <v>-22.022476992893644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0.63</v>
      </c>
      <c r="F27" s="106">
        <v>0.57999999999999996</v>
      </c>
      <c r="G27" s="107">
        <f t="shared" si="0"/>
        <v>4546.709973601487</v>
      </c>
      <c r="H27" s="119">
        <f t="shared" si="1"/>
        <v>4532.9793390067071</v>
      </c>
      <c r="I27" s="109">
        <f t="shared" si="2"/>
        <v>-13.730634594779985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14.700000000000001</v>
      </c>
      <c r="F28" s="113">
        <f>SUM(F16:F27)</f>
        <v>15.88</v>
      </c>
      <c r="G28" s="114">
        <f>SUM(G16:G27)</f>
        <v>114390.52000000002</v>
      </c>
      <c r="H28" s="115">
        <f>SUM(H16:H27)</f>
        <v>90023.863199999993</v>
      </c>
      <c r="I28" s="116">
        <f>H28-G28</f>
        <v>-24366.656800000026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2.7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114390.51999999999</v>
      </c>
      <c r="E32" s="296"/>
      <c r="F32" s="295">
        <f>30075.71+33914.52+14128.08</f>
        <v>78118.31</v>
      </c>
      <c r="G32" s="296"/>
      <c r="H32" s="295">
        <f>G24</f>
        <v>36272.21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98395.569999999992</v>
      </c>
      <c r="E33" s="296"/>
      <c r="F33" s="295">
        <f>25954.85+29267.68+11870.71</f>
        <v>67093.239999999991</v>
      </c>
      <c r="G33" s="296"/>
      <c r="H33" s="295">
        <v>31302.33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90023.863199999993</v>
      </c>
      <c r="E34" s="315"/>
      <c r="F34" s="314">
        <f>H16+H17+H18+H19+H20+H21+H22+H23+H25+H26+H27</f>
        <v>78111.863199999993</v>
      </c>
      <c r="G34" s="315"/>
      <c r="H34" s="314">
        <f>H24</f>
        <v>11912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8371.7067999999999</v>
      </c>
      <c r="E35" s="318"/>
      <c r="F35" s="319">
        <f>F33-F34</f>
        <v>-11018.623200000002</v>
      </c>
      <c r="G35" s="320"/>
      <c r="H35" s="319">
        <f>H33-H34</f>
        <v>19390.330000000002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9" t="s">
        <v>267</v>
      </c>
      <c r="C36" s="259"/>
      <c r="D36" s="25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9"/>
      <c r="C37" s="259"/>
      <c r="D37" s="25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9" t="s">
        <v>268</v>
      </c>
      <c r="C38" s="259"/>
      <c r="D38" s="25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9"/>
      <c r="C39" s="259"/>
      <c r="D39" s="25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9" t="s">
        <v>269</v>
      </c>
      <c r="C40" s="259"/>
      <c r="D40" s="25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3"/>
      <c r="J41" s="62"/>
      <c r="N41" s="341"/>
      <c r="O41" s="341"/>
      <c r="P41" s="341"/>
      <c r="Q41" s="341"/>
    </row>
    <row r="42" spans="2:18">
      <c r="B42" s="259" t="s">
        <v>270</v>
      </c>
      <c r="C42" s="259"/>
      <c r="D42" s="25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E42:F42"/>
    <mergeCell ref="G42:H42"/>
    <mergeCell ref="I42:J42"/>
    <mergeCell ref="E43:F43"/>
    <mergeCell ref="I38:J38"/>
    <mergeCell ref="E39:F39"/>
    <mergeCell ref="G39:H39"/>
    <mergeCell ref="I39:J39"/>
    <mergeCell ref="E40:F40"/>
    <mergeCell ref="G40:H40"/>
    <mergeCell ref="I40:J40"/>
    <mergeCell ref="E38:F38"/>
    <mergeCell ref="G38:H38"/>
    <mergeCell ref="E41:F41"/>
    <mergeCell ref="E36:F36"/>
    <mergeCell ref="G36:H36"/>
    <mergeCell ref="E37:F37"/>
    <mergeCell ref="G37:H37"/>
    <mergeCell ref="I37:J37"/>
    <mergeCell ref="D33:E33"/>
    <mergeCell ref="F33:G33"/>
    <mergeCell ref="H33:I33"/>
    <mergeCell ref="H34:I34"/>
    <mergeCell ref="H35:I35"/>
    <mergeCell ref="D34:E34"/>
    <mergeCell ref="F34:G34"/>
    <mergeCell ref="D35:E35"/>
    <mergeCell ref="F35:G35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</mergeCells>
  <printOptions horizontalCentered="1"/>
  <pageMargins left="0.19685039370078741" right="0.27559055118110237" top="0.15748031496062992" bottom="0.23622047244094491" header="0.19685039370078741" footer="0.23622047244094491"/>
  <pageSetup paperSize="9" scale="4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0.42578125" style="1" customWidth="1"/>
    <col min="3" max="3" width="12.7109375" style="3" customWidth="1"/>
    <col min="4" max="4" width="9.85546875" style="3" customWidth="1"/>
    <col min="5" max="5" width="10" style="3" customWidth="1"/>
    <col min="6" max="6" width="10.28515625" style="3" customWidth="1"/>
    <col min="7" max="7" width="10.140625" style="1" customWidth="1"/>
    <col min="8" max="8" width="10.28515625" style="1" customWidth="1"/>
    <col min="9" max="9" width="11.85546875" style="1" customWidth="1"/>
    <col min="10" max="10" width="10.7109375" style="1" bestFit="1" customWidth="1"/>
    <col min="11" max="13" width="9.140625" style="1"/>
    <col min="14" max="14" width="12.42578125" style="339" customWidth="1"/>
    <col min="15" max="16" width="14.5703125" style="339" customWidth="1"/>
    <col min="17" max="17" width="12.140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203</v>
      </c>
      <c r="E5" s="299"/>
      <c r="F5" s="299"/>
    </row>
    <row r="6" spans="1:18">
      <c r="B6" s="1" t="s">
        <v>1</v>
      </c>
      <c r="D6" s="28">
        <v>1982</v>
      </c>
      <c r="E6" s="28"/>
      <c r="F6" s="28"/>
    </row>
    <row r="7" spans="1:18" hidden="1" outlineLevel="1">
      <c r="B7" s="1" t="s">
        <v>2</v>
      </c>
      <c r="D7" s="28">
        <v>3</v>
      </c>
      <c r="E7" s="28"/>
      <c r="F7" s="28"/>
    </row>
    <row r="8" spans="1:18" hidden="1" outlineLevel="1">
      <c r="B8" s="1" t="s">
        <v>3</v>
      </c>
      <c r="D8" s="28">
        <v>18</v>
      </c>
      <c r="E8" s="28"/>
      <c r="F8" s="28"/>
    </row>
    <row r="9" spans="1:18" ht="30.75" hidden="1" customHeight="1" outlineLevel="1">
      <c r="B9" s="2" t="s">
        <v>4</v>
      </c>
      <c r="C9" s="7"/>
      <c r="D9" s="28" t="s">
        <v>204</v>
      </c>
      <c r="E9" s="28"/>
      <c r="F9" s="28"/>
    </row>
    <row r="10" spans="1:18" collapsed="1">
      <c r="B10" s="1" t="s">
        <v>5</v>
      </c>
      <c r="D10" s="28" t="s">
        <v>205</v>
      </c>
      <c r="E10" s="28"/>
      <c r="F10" s="28"/>
      <c r="J10" s="10"/>
    </row>
    <row r="11" spans="1:18" hidden="1" outlineLevel="1">
      <c r="B11" s="1" t="s">
        <v>6</v>
      </c>
      <c r="D11" s="28" t="s">
        <v>16</v>
      </c>
      <c r="E11" s="28"/>
      <c r="F11" s="28"/>
    </row>
    <row r="12" spans="1:18" ht="30.75" hidden="1" customHeight="1" outlineLevel="1">
      <c r="B12" s="2" t="s">
        <v>7</v>
      </c>
      <c r="C12" s="7"/>
      <c r="D12" s="323" t="s">
        <v>210</v>
      </c>
      <c r="E12" s="323"/>
      <c r="F12" s="28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42430.46</v>
      </c>
      <c r="O15" s="341">
        <v>46710.47</v>
      </c>
      <c r="P15" s="341">
        <f>43047.17*0.97</f>
        <v>41755.7549</v>
      </c>
      <c r="Q15" s="341">
        <f>48136.15*0.97</f>
        <v>46692.065499999997</v>
      </c>
      <c r="R15" s="339">
        <f>(N15+O15)/(P15+Q15)*100</f>
        <v>100.78363672147653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10370.739028616597</v>
      </c>
      <c r="H16" s="81">
        <f>($P$15/$P$16*E16)+($Q$15/$Q$16*F16)</f>
        <v>10287.348910201519</v>
      </c>
      <c r="I16" s="82">
        <f>H16-G16</f>
        <v>-83.390118415078177</v>
      </c>
      <c r="J16" s="43"/>
      <c r="K16" s="12"/>
      <c r="L16" s="12"/>
      <c r="M16" s="13"/>
      <c r="N16" s="342">
        <v>8.3800000000000008</v>
      </c>
      <c r="O16" s="341">
        <v>9.33</v>
      </c>
      <c r="P16" s="342">
        <v>8.3800000000000008</v>
      </c>
      <c r="Q16" s="341">
        <v>9.33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1.1299999999999999</v>
      </c>
      <c r="F17" s="230">
        <v>1.17</v>
      </c>
      <c r="G17" s="80">
        <f t="shared" ref="G17:G27" si="0">($N$15/$N$16*E17)+($O$15/$O$16*F17)</f>
        <v>11579.112863731591</v>
      </c>
      <c r="H17" s="53">
        <f t="shared" ref="H17:H27" si="1">($P$15/$P$16*E17)+($Q$15/$Q$16*F17)</f>
        <v>11485.824383280124</v>
      </c>
      <c r="I17" s="82">
        <f t="shared" ref="I17:I27" si="2">H17-G17</f>
        <v>-93.288480451466967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2769.4741361686456</v>
      </c>
      <c r="H18" s="53">
        <f t="shared" si="1"/>
        <v>2746.3976842359316</v>
      </c>
      <c r="I18" s="82">
        <f t="shared" si="2"/>
        <v>-23.076451932714008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0.04</v>
      </c>
      <c r="F19" s="230">
        <v>0.03</v>
      </c>
      <c r="G19" s="80">
        <f t="shared" si="0"/>
        <v>352.72646593865352</v>
      </c>
      <c r="H19" s="53">
        <f t="shared" si="1"/>
        <v>349.44673807872056</v>
      </c>
      <c r="I19" s="82">
        <f t="shared" si="2"/>
        <v>-3.2797278599329616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12430.782869819684</v>
      </c>
      <c r="H20" s="53">
        <f t="shared" si="1"/>
        <v>12336.373633582229</v>
      </c>
      <c r="I20" s="82">
        <f t="shared" si="2"/>
        <v>-94.409236237455843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62">
        <v>3.57</v>
      </c>
      <c r="F21" s="230">
        <v>2.91</v>
      </c>
      <c r="G21" s="80">
        <f t="shared" si="0"/>
        <v>32644.84397409235</v>
      </c>
      <c r="H21" s="53">
        <f t="shared" si="1"/>
        <v>32351.669629554752</v>
      </c>
      <c r="I21" s="82">
        <f t="shared" si="2"/>
        <v>-293.17434453759779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>
        <v>19596.12</v>
      </c>
      <c r="H22" s="53">
        <v>19894.71</v>
      </c>
      <c r="I22" s="82">
        <f t="shared" si="2"/>
        <v>298.59000000000015</v>
      </c>
      <c r="J22" s="5"/>
      <c r="N22" s="341"/>
      <c r="O22" s="341"/>
      <c r="P22" s="341"/>
      <c r="Q22" s="341"/>
      <c r="R22" s="351"/>
    </row>
    <row r="23" spans="2:18" ht="123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f t="shared" si="0"/>
        <v>2165.2872186111472</v>
      </c>
      <c r="H23" s="53">
        <f t="shared" si="1"/>
        <v>2147.1599476966285</v>
      </c>
      <c r="I23" s="82">
        <f t="shared" si="2"/>
        <v>-18.127270914518704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0.85</v>
      </c>
      <c r="F24" s="230">
        <v>2.5</v>
      </c>
      <c r="G24" s="80">
        <v>16962.060000000001</v>
      </c>
      <c r="H24" s="53">
        <v>397</v>
      </c>
      <c r="I24" s="82">
        <f t="shared" si="2"/>
        <v>-16565.060000000001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1.44</v>
      </c>
      <c r="G25" s="80">
        <f t="shared" si="0"/>
        <v>10804.276498706919</v>
      </c>
      <c r="H25" s="53">
        <f t="shared" si="1"/>
        <v>10744.271180881213</v>
      </c>
      <c r="I25" s="82">
        <f t="shared" si="2"/>
        <v>-60.005317825705788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5421.2046109375915</v>
      </c>
      <c r="H26" s="53">
        <f t="shared" si="1"/>
        <v>5399.4389065343394</v>
      </c>
      <c r="I26" s="82">
        <f t="shared" si="2"/>
        <v>-21.76570440325213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0.03</v>
      </c>
      <c r="F27" s="106">
        <v>0.09</v>
      </c>
      <c r="G27" s="107">
        <f t="shared" si="0"/>
        <v>602.48233337681972</v>
      </c>
      <c r="H27" s="119">
        <f t="shared" si="1"/>
        <v>599.88938595453874</v>
      </c>
      <c r="I27" s="109">
        <f t="shared" si="2"/>
        <v>-2.5929474222809858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11.17</v>
      </c>
      <c r="F28" s="113">
        <f>SUM(F16:F27)</f>
        <v>13.83</v>
      </c>
      <c r="G28" s="114">
        <f>SUM(G16:G27)</f>
        <v>125699.11</v>
      </c>
      <c r="H28" s="115">
        <f>SUM(H16:H27)</f>
        <v>108739.53039999997</v>
      </c>
      <c r="I28" s="116">
        <f>H28-G28</f>
        <v>-16959.579600000026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6.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125699.10999999999</v>
      </c>
      <c r="E32" s="296"/>
      <c r="F32" s="295">
        <f>42430.46+46710.47+19596.12</f>
        <v>108737.04999999999</v>
      </c>
      <c r="G32" s="296"/>
      <c r="H32" s="295">
        <f>G24</f>
        <v>16962.060000000001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114858.17</v>
      </c>
      <c r="E33" s="296"/>
      <c r="F33" s="295">
        <f>38749.1+42657.76+17960.92</f>
        <v>99367.78</v>
      </c>
      <c r="G33" s="296"/>
      <c r="H33" s="295">
        <v>15490.39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108739.53039999997</v>
      </c>
      <c r="E34" s="315"/>
      <c r="F34" s="314">
        <f>H16+H17+H18+H19+H20+H21+H22+H23+H25+H26+H27</f>
        <v>108342.53039999997</v>
      </c>
      <c r="G34" s="315"/>
      <c r="H34" s="314">
        <f>H24</f>
        <v>397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6118.6396000000241</v>
      </c>
      <c r="E35" s="318"/>
      <c r="F35" s="319">
        <f>F33-F34</f>
        <v>-8974.7503999999753</v>
      </c>
      <c r="G35" s="320"/>
      <c r="H35" s="319">
        <f>H33-H34</f>
        <v>15093.39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9" t="s">
        <v>267</v>
      </c>
      <c r="C36" s="259"/>
      <c r="D36" s="25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9"/>
      <c r="C37" s="259"/>
      <c r="D37" s="25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9" t="s">
        <v>268</v>
      </c>
      <c r="C38" s="259"/>
      <c r="D38" s="25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9"/>
      <c r="C39" s="259"/>
      <c r="D39" s="25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9" t="s">
        <v>269</v>
      </c>
      <c r="C40" s="259"/>
      <c r="D40" s="25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3"/>
      <c r="J41" s="62"/>
      <c r="N41" s="341"/>
      <c r="O41" s="341"/>
      <c r="P41" s="341"/>
      <c r="Q41" s="341"/>
    </row>
    <row r="42" spans="2:18">
      <c r="B42" s="259" t="s">
        <v>270</v>
      </c>
      <c r="C42" s="259"/>
      <c r="D42" s="25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I42:J42"/>
    <mergeCell ref="E43:F43"/>
    <mergeCell ref="I38:J38"/>
    <mergeCell ref="E39:F39"/>
    <mergeCell ref="G39:H39"/>
    <mergeCell ref="I39:J39"/>
    <mergeCell ref="E40:F40"/>
    <mergeCell ref="G40:H40"/>
    <mergeCell ref="I40:J40"/>
    <mergeCell ref="E38:F38"/>
    <mergeCell ref="G38:H38"/>
    <mergeCell ref="E41:F41"/>
    <mergeCell ref="E42:F42"/>
    <mergeCell ref="G42:H42"/>
    <mergeCell ref="E36:F36"/>
    <mergeCell ref="G36:H36"/>
    <mergeCell ref="E37:F37"/>
    <mergeCell ref="G37:H37"/>
    <mergeCell ref="I37:J37"/>
    <mergeCell ref="H33:I33"/>
    <mergeCell ref="D34:E34"/>
    <mergeCell ref="F34:G34"/>
    <mergeCell ref="H34:I34"/>
    <mergeCell ref="H35:I35"/>
    <mergeCell ref="D33:E33"/>
    <mergeCell ref="F33:G33"/>
    <mergeCell ref="D35:E35"/>
    <mergeCell ref="F35:G35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</mergeCells>
  <printOptions horizontalCentered="1"/>
  <pageMargins left="0.19685039370078741" right="0.19685039370078741" top="0.19685039370078741" bottom="0.31496062992125984" header="0.31496062992125984" footer="0.31496062992125984"/>
  <pageSetup paperSize="9" scale="4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.7109375" style="1" customWidth="1"/>
    <col min="3" max="3" width="12.28515625" style="3" customWidth="1"/>
    <col min="4" max="4" width="9.85546875" style="3" customWidth="1"/>
    <col min="5" max="6" width="10.28515625" style="3" customWidth="1"/>
    <col min="7" max="7" width="10.28515625" style="1" customWidth="1"/>
    <col min="8" max="8" width="10.42578125" style="1" customWidth="1"/>
    <col min="9" max="9" width="11.28515625" style="1" customWidth="1"/>
    <col min="10" max="10" width="10.7109375" style="1" bestFit="1" customWidth="1"/>
    <col min="11" max="13" width="9.140625" style="1"/>
    <col min="14" max="14" width="14.28515625" style="339" customWidth="1"/>
    <col min="15" max="16" width="13" style="339" customWidth="1"/>
    <col min="17" max="17" width="14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206</v>
      </c>
      <c r="E5" s="299"/>
      <c r="F5" s="299"/>
    </row>
    <row r="6" spans="1:18">
      <c r="B6" s="1" t="s">
        <v>1</v>
      </c>
      <c r="D6" s="28">
        <v>1983</v>
      </c>
      <c r="E6" s="28"/>
      <c r="F6" s="28"/>
    </row>
    <row r="7" spans="1:18" hidden="1" outlineLevel="1">
      <c r="B7" s="1" t="s">
        <v>2</v>
      </c>
      <c r="D7" s="28">
        <v>2</v>
      </c>
      <c r="E7" s="28"/>
      <c r="F7" s="28"/>
    </row>
    <row r="8" spans="1:18" hidden="1" outlineLevel="1">
      <c r="B8" s="1" t="s">
        <v>3</v>
      </c>
      <c r="D8" s="28">
        <v>12</v>
      </c>
      <c r="E8" s="28"/>
      <c r="F8" s="28"/>
    </row>
    <row r="9" spans="1:18" ht="30.75" hidden="1" customHeight="1" outlineLevel="1">
      <c r="B9" s="2" t="s">
        <v>4</v>
      </c>
      <c r="C9" s="7"/>
      <c r="D9" s="28" t="s">
        <v>207</v>
      </c>
      <c r="E9" s="28"/>
      <c r="F9" s="28"/>
    </row>
    <row r="10" spans="1:18" collapsed="1">
      <c r="B10" s="1" t="s">
        <v>5</v>
      </c>
      <c r="D10" s="28" t="s">
        <v>208</v>
      </c>
      <c r="E10" s="28"/>
      <c r="F10" s="28"/>
      <c r="J10" s="10"/>
    </row>
    <row r="11" spans="1:18" hidden="1" outlineLevel="1">
      <c r="B11" s="1" t="s">
        <v>6</v>
      </c>
      <c r="D11" s="28" t="s">
        <v>16</v>
      </c>
      <c r="E11" s="28"/>
      <c r="F11" s="28"/>
    </row>
    <row r="12" spans="1:18" ht="30.75" hidden="1" customHeight="1" outlineLevel="1">
      <c r="B12" s="2" t="s">
        <v>7</v>
      </c>
      <c r="C12" s="7"/>
      <c r="D12" s="323" t="s">
        <v>209</v>
      </c>
      <c r="E12" s="323"/>
      <c r="F12" s="28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28798.29</v>
      </c>
      <c r="O15" s="341">
        <v>32046.23</v>
      </c>
      <c r="P15" s="341">
        <v>27884.5</v>
      </c>
      <c r="Q15" s="341">
        <v>31180.97</v>
      </c>
      <c r="R15" s="339">
        <f>(N15+O15)/(P15+Q15)*100</f>
        <v>103.01199668774328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6869.3479068178367</v>
      </c>
      <c r="H16" s="81">
        <f>($P$15/$P$16*E16)+($Q$15/$Q$16*F16)</f>
        <v>6667.8557764336692</v>
      </c>
      <c r="I16" s="82">
        <f>H16-G16</f>
        <v>-201.49213038416747</v>
      </c>
      <c r="J16" s="43"/>
      <c r="K16" s="12"/>
      <c r="L16" s="12"/>
      <c r="M16" s="13"/>
      <c r="N16" s="342">
        <v>8.59</v>
      </c>
      <c r="O16" s="341">
        <v>9.66</v>
      </c>
      <c r="P16" s="342">
        <v>8.59</v>
      </c>
      <c r="Q16" s="341">
        <v>9.66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1.1299999999999999</v>
      </c>
      <c r="F17" s="230">
        <v>1.17</v>
      </c>
      <c r="G17" s="80">
        <f t="shared" ref="G17:G27" si="0">($N$15/$N$16*E17)+($O$15/$O$16*F17)</f>
        <v>7669.7421209480908</v>
      </c>
      <c r="H17" s="53">
        <f t="shared" ref="H17:H27" si="1">($P$15/$P$16*E17)+($Q$15/$Q$16*F17)</f>
        <v>7444.7360175055492</v>
      </c>
      <c r="I17" s="82">
        <f t="shared" ref="I17:I27" si="2">H17-G17</f>
        <v>-225.00610344254164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1834.4123484985432</v>
      </c>
      <c r="H18" s="53">
        <f t="shared" si="1"/>
        <v>1780.4421256480528</v>
      </c>
      <c r="I18" s="82">
        <f t="shared" si="2"/>
        <v>-53.970222850490472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0.04</v>
      </c>
      <c r="F19" s="230">
        <v>0.04</v>
      </c>
      <c r="G19" s="80">
        <f t="shared" si="0"/>
        <v>266.7980713767513</v>
      </c>
      <c r="H19" s="53">
        <f t="shared" si="1"/>
        <v>258.96008035729346</v>
      </c>
      <c r="I19" s="82">
        <f t="shared" si="2"/>
        <v>-7.8379910194578315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8234.0539058730246</v>
      </c>
      <c r="H20" s="53">
        <f t="shared" si="1"/>
        <v>7993.6525903899037</v>
      </c>
      <c r="I20" s="82">
        <f t="shared" si="2"/>
        <v>-240.40131548312092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62">
        <v>3.67</v>
      </c>
      <c r="F21" s="230">
        <v>3.23</v>
      </c>
      <c r="G21" s="80">
        <f t="shared" si="0"/>
        <v>23019.060398713416</v>
      </c>
      <c r="H21" s="53">
        <f t="shared" si="1"/>
        <v>22339.336151249587</v>
      </c>
      <c r="I21" s="82">
        <f t="shared" si="2"/>
        <v>-679.72424746382967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>
        <v>12760.56</v>
      </c>
      <c r="H22" s="53">
        <v>12887.12</v>
      </c>
      <c r="I22" s="82">
        <f t="shared" si="2"/>
        <v>126.56000000000131</v>
      </c>
      <c r="J22" s="5"/>
      <c r="N22" s="341"/>
      <c r="O22" s="341"/>
      <c r="P22" s="341"/>
      <c r="Q22" s="341"/>
      <c r="R22" s="351"/>
    </row>
    <row r="23" spans="2:18" ht="121.5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f t="shared" si="0"/>
        <v>1434.2152414334159</v>
      </c>
      <c r="H23" s="53">
        <f t="shared" si="1"/>
        <v>1392.0020051121121</v>
      </c>
      <c r="I23" s="82">
        <f t="shared" si="2"/>
        <v>-42.213236321303839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3.58</v>
      </c>
      <c r="F24" s="230">
        <v>3.58</v>
      </c>
      <c r="G24" s="80">
        <v>24004.17</v>
      </c>
      <c r="H24" s="53">
        <v>310</v>
      </c>
      <c r="I24" s="82">
        <f t="shared" si="2"/>
        <v>-23694.17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1.44</v>
      </c>
      <c r="G25" s="80">
        <f t="shared" si="0"/>
        <v>7157.3788000636305</v>
      </c>
      <c r="H25" s="53">
        <f t="shared" si="1"/>
        <v>6952.8673166111103</v>
      </c>
      <c r="I25" s="82">
        <f t="shared" si="2"/>
        <v>-204.51148345252022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3591.5887121502442</v>
      </c>
      <c r="H26" s="53">
        <f t="shared" si="1"/>
        <v>3490.6498397072046</v>
      </c>
      <c r="I26" s="82">
        <f t="shared" si="2"/>
        <v>-100.9388724430396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0.14000000000000001</v>
      </c>
      <c r="F27" s="106">
        <v>0.09</v>
      </c>
      <c r="G27" s="107">
        <f t="shared" si="0"/>
        <v>767.92249412504793</v>
      </c>
      <c r="H27" s="119">
        <f t="shared" si="1"/>
        <v>744.96809698551692</v>
      </c>
      <c r="I27" s="109">
        <f t="shared" si="2"/>
        <v>-22.954397139531011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14.11</v>
      </c>
      <c r="F28" s="113">
        <f>SUM(F16:F27)</f>
        <v>15.24</v>
      </c>
      <c r="G28" s="114">
        <f>SUM(G16:G27)</f>
        <v>97609.249999999985</v>
      </c>
      <c r="H28" s="115">
        <f>SUM(H16:H27)</f>
        <v>72262.589999999982</v>
      </c>
      <c r="I28" s="116">
        <f>H28-G28</f>
        <v>-25346.660000000003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6.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97609.25</v>
      </c>
      <c r="E32" s="296"/>
      <c r="F32" s="295">
        <f>28798.29+32046.23+12760.56</f>
        <v>73605.08</v>
      </c>
      <c r="G32" s="296"/>
      <c r="H32" s="295">
        <f>G24</f>
        <v>24004.17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95342.44</v>
      </c>
      <c r="E33" s="296"/>
      <c r="F33" s="295">
        <f>28126.71+31298.91+12472.44</f>
        <v>71898.06</v>
      </c>
      <c r="G33" s="296"/>
      <c r="H33" s="295">
        <v>23444.38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72262.589999999982</v>
      </c>
      <c r="E34" s="315"/>
      <c r="F34" s="314">
        <f>H16+H17+H18+H19+H20+H21+H22+H23+H25+H26+H27</f>
        <v>71952.589999999982</v>
      </c>
      <c r="G34" s="315"/>
      <c r="H34" s="314">
        <f>H24</f>
        <v>310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23079.850000000017</v>
      </c>
      <c r="E35" s="318"/>
      <c r="F35" s="319">
        <f>F33-F34</f>
        <v>-54.529999999984284</v>
      </c>
      <c r="G35" s="320"/>
      <c r="H35" s="319">
        <f>H33-H34</f>
        <v>23134.38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59" t="s">
        <v>267</v>
      </c>
      <c r="C36" s="259"/>
      <c r="D36" s="259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59"/>
      <c r="C37" s="259"/>
      <c r="D37" s="259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59" t="s">
        <v>268</v>
      </c>
      <c r="C38" s="259"/>
      <c r="D38" s="259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59"/>
      <c r="C39" s="259"/>
      <c r="D39" s="259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59" t="s">
        <v>269</v>
      </c>
      <c r="C40" s="259"/>
      <c r="D40" s="259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3"/>
      <c r="J41" s="62"/>
      <c r="N41" s="341"/>
      <c r="O41" s="341"/>
      <c r="P41" s="341"/>
      <c r="Q41" s="341"/>
    </row>
    <row r="42" spans="2:18">
      <c r="B42" s="259" t="s">
        <v>270</v>
      </c>
      <c r="C42" s="259"/>
      <c r="D42" s="259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E43:F43"/>
    <mergeCell ref="E40:F40"/>
    <mergeCell ref="G40:H40"/>
    <mergeCell ref="I40:J40"/>
    <mergeCell ref="E41:F41"/>
    <mergeCell ref="E42:F42"/>
    <mergeCell ref="G42:H42"/>
    <mergeCell ref="I42:J42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D34:E34"/>
    <mergeCell ref="F34:G34"/>
    <mergeCell ref="H34:I34"/>
    <mergeCell ref="H35:I35"/>
    <mergeCell ref="E36:F36"/>
    <mergeCell ref="G36:H36"/>
    <mergeCell ref="D35:E35"/>
    <mergeCell ref="F35:G35"/>
    <mergeCell ref="D32:E32"/>
    <mergeCell ref="F32:G32"/>
    <mergeCell ref="H32:I32"/>
    <mergeCell ref="D33:E33"/>
    <mergeCell ref="F33:G33"/>
    <mergeCell ref="H33:I33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B30:I30"/>
    <mergeCell ref="D31:E31"/>
    <mergeCell ref="F31:G31"/>
    <mergeCell ref="H31:I31"/>
    <mergeCell ref="D5:F5"/>
    <mergeCell ref="D12:E12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28515625" style="1" customWidth="1"/>
    <col min="3" max="3" width="12.7109375" style="3" customWidth="1"/>
    <col min="4" max="4" width="8.42578125" style="3" customWidth="1"/>
    <col min="5" max="5" width="9.140625" style="3" customWidth="1"/>
    <col min="6" max="6" width="10.28515625" style="3" customWidth="1"/>
    <col min="7" max="7" width="11" style="1" customWidth="1"/>
    <col min="8" max="8" width="13" style="1" customWidth="1"/>
    <col min="9" max="9" width="12.140625" style="1" customWidth="1"/>
    <col min="10" max="10" width="10.7109375" style="1" bestFit="1" customWidth="1"/>
    <col min="11" max="13" width="9.140625" style="1"/>
    <col min="14" max="14" width="16.28515625" style="339" customWidth="1"/>
    <col min="15" max="15" width="14.140625" style="339" customWidth="1"/>
    <col min="16" max="16" width="15.140625" style="339" customWidth="1"/>
    <col min="17" max="17" width="13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4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211</v>
      </c>
      <c r="E5" s="299"/>
      <c r="F5" s="299"/>
    </row>
    <row r="6" spans="1:18">
      <c r="B6" s="1" t="s">
        <v>1</v>
      </c>
      <c r="D6" s="28">
        <v>1985</v>
      </c>
      <c r="E6" s="28"/>
      <c r="F6" s="28"/>
    </row>
    <row r="7" spans="1:18" hidden="1" outlineLevel="1">
      <c r="B7" s="1" t="s">
        <v>2</v>
      </c>
      <c r="D7" s="28">
        <v>3</v>
      </c>
      <c r="E7" s="28"/>
      <c r="F7" s="28"/>
    </row>
    <row r="8" spans="1:18" hidden="1" outlineLevel="1">
      <c r="B8" s="1" t="s">
        <v>3</v>
      </c>
      <c r="D8" s="28">
        <v>23</v>
      </c>
      <c r="E8" s="28"/>
      <c r="F8" s="28"/>
    </row>
    <row r="9" spans="1:18" ht="30.75" hidden="1" customHeight="1" outlineLevel="1">
      <c r="B9" s="2" t="s">
        <v>4</v>
      </c>
      <c r="C9" s="7"/>
      <c r="D9" s="28" t="s">
        <v>212</v>
      </c>
      <c r="E9" s="28"/>
      <c r="F9" s="28"/>
    </row>
    <row r="10" spans="1:18" collapsed="1">
      <c r="B10" s="1" t="s">
        <v>5</v>
      </c>
      <c r="D10" s="28" t="s">
        <v>213</v>
      </c>
      <c r="E10" s="28"/>
      <c r="F10" s="28"/>
      <c r="J10" s="10"/>
    </row>
    <row r="11" spans="1:18" ht="30.75" hidden="1" customHeight="1" outlineLevel="1">
      <c r="B11" s="2" t="s">
        <v>7</v>
      </c>
      <c r="C11" s="7"/>
      <c r="D11" s="323" t="s">
        <v>214</v>
      </c>
      <c r="E11" s="323"/>
      <c r="F11" s="28"/>
      <c r="J11" s="10"/>
    </row>
    <row r="12" spans="1:18" ht="20.25" customHeight="1" collapsed="1"/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57513.25</v>
      </c>
      <c r="O15" s="341">
        <v>64054.52</v>
      </c>
      <c r="P15" s="341">
        <f>59036.99*0.97</f>
        <v>57265.880299999997</v>
      </c>
      <c r="Q15" s="341">
        <f>66016.26*0.97</f>
        <v>64035.772199999992</v>
      </c>
      <c r="R15" s="339">
        <f>(N15+O15)/(P15+Q15)*100</f>
        <v>100.21938489255122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14199.59023696499</v>
      </c>
      <c r="H16" s="81">
        <f>($P$15/$P$16*E16)+($Q$15/$Q$16*F16)</f>
        <v>14167.381000812929</v>
      </c>
      <c r="I16" s="82">
        <f>H16-G16</f>
        <v>-32.209236152060839</v>
      </c>
      <c r="J16" s="43"/>
      <c r="K16" s="12"/>
      <c r="L16" s="12"/>
      <c r="M16" s="13"/>
      <c r="N16" s="342">
        <v>8.3000000000000007</v>
      </c>
      <c r="O16" s="341">
        <v>9.34</v>
      </c>
      <c r="P16" s="342">
        <v>8.3000000000000007</v>
      </c>
      <c r="Q16" s="341">
        <v>9.34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2">
        <v>1.1299999999999999</v>
      </c>
      <c r="F17" s="230">
        <v>1.17</v>
      </c>
      <c r="G17" s="80">
        <f t="shared" ref="G17:G28" si="0">($N$15/$N$16*E17)+($O$15/$O$16*F17)</f>
        <v>15854.077382807458</v>
      </c>
      <c r="H17" s="53">
        <f t="shared" ref="H17:H28" si="1">($P$15/$P$16*E17)+($Q$15/$Q$16*F17)</f>
        <v>15818.05084616573</v>
      </c>
      <c r="I17" s="82">
        <f t="shared" ref="I17:I28" si="2">H17-G17</f>
        <v>-36.026536641727944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2">
        <v>0.28000000000000003</v>
      </c>
      <c r="F18" s="230">
        <v>0.27</v>
      </c>
      <c r="G18" s="80">
        <f t="shared" si="0"/>
        <v>3791.8891504347152</v>
      </c>
      <c r="H18" s="53">
        <f t="shared" si="1"/>
        <v>3783.0021885498309</v>
      </c>
      <c r="I18" s="82">
        <f t="shared" si="2"/>
        <v>-8.8869618848843857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2">
        <v>0.13</v>
      </c>
      <c r="F19" s="230">
        <v>0.15</v>
      </c>
      <c r="G19" s="80">
        <f t="shared" si="0"/>
        <v>1929.5227877247748</v>
      </c>
      <c r="H19" s="53">
        <f t="shared" si="1"/>
        <v>1925.3472336789555</v>
      </c>
      <c r="I19" s="82">
        <f t="shared" si="2"/>
        <v>-4.1755540458193536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2">
        <v>1.1399999999999999</v>
      </c>
      <c r="F20" s="230">
        <v>1.33</v>
      </c>
      <c r="G20" s="80">
        <f t="shared" si="0"/>
        <v>17020.664159593405</v>
      </c>
      <c r="H20" s="53">
        <f t="shared" si="1"/>
        <v>16984.018425712442</v>
      </c>
      <c r="I20" s="82">
        <f t="shared" si="2"/>
        <v>-36.645733880963235</v>
      </c>
      <c r="J20" s="5"/>
      <c r="N20" s="341"/>
      <c r="O20" s="341"/>
      <c r="P20" s="341"/>
      <c r="Q20" s="341"/>
    </row>
    <row r="21" spans="2:18" ht="153">
      <c r="B21" s="102" t="s">
        <v>282</v>
      </c>
      <c r="C21" s="76" t="s">
        <v>303</v>
      </c>
      <c r="D21" s="77" t="s">
        <v>300</v>
      </c>
      <c r="E21" s="262">
        <v>2.82</v>
      </c>
      <c r="F21" s="230">
        <v>2.46</v>
      </c>
      <c r="G21" s="80">
        <f t="shared" si="0"/>
        <v>36411.537092180282</v>
      </c>
      <c r="H21" s="53">
        <f t="shared" si="1"/>
        <v>36322.553143949328</v>
      </c>
      <c r="I21" s="82">
        <f t="shared" si="2"/>
        <v>-88.983948230954411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2">
        <v>1.94</v>
      </c>
      <c r="F22" s="230">
        <v>2</v>
      </c>
      <c r="G22" s="80">
        <v>26874.9</v>
      </c>
      <c r="H22" s="53">
        <v>27284.58</v>
      </c>
      <c r="I22" s="82">
        <f t="shared" si="2"/>
        <v>409.68000000000029</v>
      </c>
      <c r="J22" s="5"/>
      <c r="N22" s="341"/>
      <c r="O22" s="341"/>
      <c r="P22" s="341"/>
      <c r="Q22" s="341"/>
      <c r="R22" s="351"/>
    </row>
    <row r="23" spans="2:18" ht="121.5" customHeight="1">
      <c r="B23" s="102" t="s">
        <v>305</v>
      </c>
      <c r="C23" s="76" t="s">
        <v>299</v>
      </c>
      <c r="D23" s="77" t="s">
        <v>300</v>
      </c>
      <c r="E23" s="262">
        <v>0.22</v>
      </c>
      <c r="F23" s="230">
        <v>0.21</v>
      </c>
      <c r="G23" s="80">
        <f t="shared" si="0"/>
        <v>2964.6455775134796</v>
      </c>
      <c r="H23" s="53">
        <f t="shared" si="1"/>
        <v>2957.6672658734292</v>
      </c>
      <c r="I23" s="82">
        <f t="shared" si="2"/>
        <v>-6.9783116400503786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2">
        <v>0.8</v>
      </c>
      <c r="F24" s="230">
        <v>2.5</v>
      </c>
      <c r="G24" s="80">
        <v>22866.720000000001</v>
      </c>
      <c r="H24" s="53">
        <v>42798</v>
      </c>
      <c r="I24" s="82">
        <f t="shared" si="2"/>
        <v>19931.28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2">
        <v>0.71</v>
      </c>
      <c r="F25" s="230">
        <v>1.28</v>
      </c>
      <c r="G25" s="80">
        <f t="shared" si="0"/>
        <v>13698.157768504423</v>
      </c>
      <c r="H25" s="53">
        <f t="shared" si="1"/>
        <v>13674.427936253192</v>
      </c>
      <c r="I25" s="82">
        <f t="shared" si="2"/>
        <v>-23.729832251230619</v>
      </c>
      <c r="J25" s="5"/>
      <c r="K25" s="261"/>
      <c r="L25" s="26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2">
        <v>0.25</v>
      </c>
      <c r="F26" s="230">
        <v>0.83</v>
      </c>
      <c r="G26" s="80">
        <f t="shared" si="0"/>
        <v>7424.5378993060031</v>
      </c>
      <c r="H26" s="53">
        <f t="shared" si="1"/>
        <v>7415.4209796741561</v>
      </c>
      <c r="I26" s="82">
        <f t="shared" si="2"/>
        <v>-9.1169196318469403</v>
      </c>
      <c r="J26" s="5"/>
      <c r="K26" s="85"/>
      <c r="L26" s="85"/>
      <c r="M26" s="10"/>
      <c r="N26" s="345"/>
      <c r="O26" s="345"/>
      <c r="P26" s="341"/>
      <c r="Q26" s="341"/>
    </row>
    <row r="27" spans="2:18" ht="24.75">
      <c r="B27" s="84" t="s">
        <v>284</v>
      </c>
      <c r="C27" s="83" t="s">
        <v>302</v>
      </c>
      <c r="D27" s="77" t="s">
        <v>300</v>
      </c>
      <c r="E27" s="262">
        <v>0.6</v>
      </c>
      <c r="F27" s="230">
        <v>0.5</v>
      </c>
      <c r="G27" s="80">
        <f t="shared" ref="G27" si="3">($N$15/$N$16*E27)+($O$15/$O$16*F27)</f>
        <v>7586.6271639018596</v>
      </c>
      <c r="H27" s="53">
        <f t="shared" ref="H27" si="4">($P$15/$P$16*E27)+($Q$15/$Q$16*F27)</f>
        <v>7567.741387363586</v>
      </c>
      <c r="I27" s="82">
        <f t="shared" si="2"/>
        <v>-18.885776538273603</v>
      </c>
      <c r="J27" s="5"/>
      <c r="K27" s="85"/>
      <c r="L27" s="85"/>
      <c r="M27" s="10"/>
      <c r="N27" s="345"/>
      <c r="O27" s="345"/>
      <c r="P27" s="341"/>
      <c r="Q27" s="341"/>
    </row>
    <row r="28" spans="2:18" ht="16.5" thickBot="1">
      <c r="B28" s="103" t="s">
        <v>273</v>
      </c>
      <c r="C28" s="104" t="s">
        <v>303</v>
      </c>
      <c r="D28" s="105" t="s">
        <v>300</v>
      </c>
      <c r="E28" s="64">
        <v>0.01</v>
      </c>
      <c r="F28" s="106">
        <v>0.09</v>
      </c>
      <c r="G28" s="107">
        <f t="shared" si="0"/>
        <v>686.52078106859983</v>
      </c>
      <c r="H28" s="119">
        <f t="shared" si="1"/>
        <v>686.04209196640943</v>
      </c>
      <c r="I28" s="109">
        <f t="shared" si="2"/>
        <v>-0.47868910219040117</v>
      </c>
      <c r="J28" s="5"/>
      <c r="N28" s="341"/>
      <c r="O28" s="341"/>
      <c r="P28" s="341"/>
      <c r="Q28" s="341"/>
    </row>
    <row r="29" spans="2:18" ht="16.5" thickBot="1">
      <c r="B29" s="110" t="s">
        <v>278</v>
      </c>
      <c r="C29" s="111"/>
      <c r="D29" s="111"/>
      <c r="E29" s="112">
        <f>SUM(E16:E28)</f>
        <v>11.04</v>
      </c>
      <c r="F29" s="113">
        <f>SUM(F16:F28)</f>
        <v>13.84</v>
      </c>
      <c r="G29" s="114">
        <f>SUM(G16:G28)</f>
        <v>171309.39</v>
      </c>
      <c r="H29" s="115">
        <f>SUM(H16:H28)</f>
        <v>191384.23249999995</v>
      </c>
      <c r="I29" s="116">
        <f>H29-G29</f>
        <v>20074.842499999941</v>
      </c>
      <c r="J29" s="5"/>
      <c r="N29" s="341"/>
      <c r="O29" s="341"/>
      <c r="P29" s="341"/>
      <c r="Q29" s="341"/>
    </row>
    <row r="30" spans="2:18">
      <c r="B30" s="10"/>
      <c r="C30" s="10"/>
      <c r="D30" s="10"/>
      <c r="E30" s="46"/>
      <c r="F30" s="46"/>
      <c r="G30" s="3"/>
      <c r="H30" s="3"/>
      <c r="I30" s="3"/>
      <c r="N30" s="341"/>
      <c r="O30" s="341"/>
      <c r="P30" s="341"/>
      <c r="Q30" s="341"/>
      <c r="R30" s="352"/>
    </row>
    <row r="31" spans="2:18" ht="16.5" customHeight="1" thickBot="1">
      <c r="B31" s="326" t="s">
        <v>308</v>
      </c>
      <c r="C31" s="326"/>
      <c r="D31" s="326"/>
      <c r="E31" s="326"/>
      <c r="F31" s="326"/>
      <c r="G31" s="326"/>
      <c r="H31" s="326"/>
      <c r="I31" s="326"/>
      <c r="J31" s="40"/>
      <c r="K31" s="40"/>
      <c r="N31" s="341"/>
      <c r="O31" s="341"/>
      <c r="P31" s="341"/>
      <c r="Q31" s="341"/>
    </row>
    <row r="32" spans="2:18" ht="39" customHeight="1">
      <c r="B32" s="56"/>
      <c r="C32" s="91"/>
      <c r="D32" s="290" t="s">
        <v>309</v>
      </c>
      <c r="E32" s="291"/>
      <c r="F32" s="292" t="s">
        <v>8</v>
      </c>
      <c r="G32" s="293"/>
      <c r="H32" s="292" t="s">
        <v>9</v>
      </c>
      <c r="I32" s="294"/>
      <c r="J32" s="123"/>
      <c r="K32" s="124"/>
      <c r="L32" s="44"/>
      <c r="M32" s="264"/>
      <c r="N32" s="345"/>
      <c r="O32" s="345"/>
      <c r="P32" s="345"/>
      <c r="Q32" s="345"/>
    </row>
    <row r="33" spans="2:18">
      <c r="B33" s="57" t="s">
        <v>18</v>
      </c>
      <c r="C33" s="94"/>
      <c r="D33" s="295">
        <f>F33+H33</f>
        <v>171309.38999999998</v>
      </c>
      <c r="E33" s="296"/>
      <c r="F33" s="295">
        <f>57513.25+64054.52+26874.9</f>
        <v>148442.66999999998</v>
      </c>
      <c r="G33" s="296"/>
      <c r="H33" s="295">
        <f>G24</f>
        <v>22866.720000000001</v>
      </c>
      <c r="I33" s="297"/>
      <c r="J33" s="125"/>
      <c r="K33" s="126"/>
      <c r="L33" s="5"/>
      <c r="M33" s="5"/>
      <c r="N33" s="341"/>
      <c r="O33" s="341"/>
      <c r="P33" s="341"/>
      <c r="Q33" s="341"/>
    </row>
    <row r="34" spans="2:18">
      <c r="B34" s="57" t="s">
        <v>19</v>
      </c>
      <c r="C34" s="94"/>
      <c r="D34" s="295">
        <f>F34+H34</f>
        <v>173241.65</v>
      </c>
      <c r="E34" s="296"/>
      <c r="F34" s="295">
        <f>58273.26+64900.96+26898.55</f>
        <v>150072.76999999999</v>
      </c>
      <c r="G34" s="296"/>
      <c r="H34" s="295">
        <v>23168.880000000001</v>
      </c>
      <c r="I34" s="297"/>
      <c r="J34" s="125"/>
      <c r="K34" s="126"/>
      <c r="L34" s="42"/>
      <c r="M34" s="5"/>
      <c r="N34" s="341"/>
      <c r="O34" s="341"/>
      <c r="P34" s="341"/>
      <c r="Q34" s="341"/>
    </row>
    <row r="35" spans="2:18" ht="16.5" thickBot="1">
      <c r="B35" s="58" t="s">
        <v>277</v>
      </c>
      <c r="C35" s="96"/>
      <c r="D35" s="314">
        <f>F35+H35</f>
        <v>191384.23249999995</v>
      </c>
      <c r="E35" s="315"/>
      <c r="F35" s="314">
        <f>H16+H17+H18+H19+H20+H21+H22+H23+H25+H26+H28+H27</f>
        <v>148586.23249999995</v>
      </c>
      <c r="G35" s="315"/>
      <c r="H35" s="314">
        <f>H24</f>
        <v>42798</v>
      </c>
      <c r="I35" s="316"/>
      <c r="J35" s="125"/>
      <c r="K35" s="126"/>
      <c r="L35" s="5"/>
      <c r="M35" s="5"/>
      <c r="N35" s="341"/>
      <c r="O35" s="341"/>
      <c r="P35" s="341"/>
      <c r="Q35" s="341"/>
    </row>
    <row r="36" spans="2:18" ht="27" thickBot="1">
      <c r="B36" s="60" t="s">
        <v>245</v>
      </c>
      <c r="C36" s="98"/>
      <c r="D36" s="317">
        <f>F36+H36</f>
        <v>-18142.582499999964</v>
      </c>
      <c r="E36" s="318"/>
      <c r="F36" s="319">
        <f>F34-F35</f>
        <v>1486.5375000000349</v>
      </c>
      <c r="G36" s="320"/>
      <c r="H36" s="319">
        <f>H34-H35</f>
        <v>-19629.12</v>
      </c>
      <c r="I36" s="321"/>
      <c r="J36" s="125"/>
      <c r="K36" s="126"/>
      <c r="L36" s="5"/>
      <c r="M36" s="5"/>
      <c r="N36" s="341"/>
      <c r="O36" s="341"/>
      <c r="P36" s="341"/>
      <c r="Q36" s="341"/>
    </row>
    <row r="37" spans="2:18" ht="27.75" customHeight="1">
      <c r="B37" s="259" t="s">
        <v>267</v>
      </c>
      <c r="C37" s="259"/>
      <c r="D37" s="259"/>
      <c r="E37" s="327" t="s">
        <v>10</v>
      </c>
      <c r="F37" s="327"/>
      <c r="G37" s="336" t="s">
        <v>11</v>
      </c>
      <c r="H37" s="336"/>
      <c r="I37" s="127"/>
      <c r="J37" s="127"/>
      <c r="K37" s="6"/>
      <c r="L37" s="6"/>
      <c r="M37" s="6"/>
      <c r="N37" s="344"/>
      <c r="O37" s="344"/>
      <c r="P37" s="344"/>
      <c r="Q37" s="344"/>
      <c r="R37" s="351"/>
    </row>
    <row r="38" spans="2:18" ht="9.75" customHeight="1">
      <c r="B38" s="259"/>
      <c r="C38" s="259"/>
      <c r="D38" s="259"/>
      <c r="E38" s="285" t="s">
        <v>12</v>
      </c>
      <c r="F38" s="285"/>
      <c r="G38" s="288"/>
      <c r="H38" s="288"/>
      <c r="I38" s="288"/>
      <c r="J38" s="288"/>
      <c r="K38" s="6"/>
      <c r="L38" s="6"/>
      <c r="M38" s="6"/>
      <c r="N38" s="344"/>
      <c r="O38" s="344"/>
      <c r="P38" s="344"/>
      <c r="Q38" s="344"/>
      <c r="R38" s="351"/>
    </row>
    <row r="39" spans="2:18">
      <c r="B39" s="259" t="s">
        <v>268</v>
      </c>
      <c r="C39" s="259"/>
      <c r="D39" s="259"/>
      <c r="E39" s="286" t="s">
        <v>10</v>
      </c>
      <c r="F39" s="286"/>
      <c r="G39" s="287" t="s">
        <v>312</v>
      </c>
      <c r="H39" s="287"/>
      <c r="I39" s="287"/>
      <c r="J39" s="287"/>
      <c r="K39" s="6"/>
      <c r="L39" s="6"/>
      <c r="M39" s="6"/>
      <c r="N39" s="344"/>
      <c r="O39" s="344"/>
      <c r="P39" s="344"/>
      <c r="Q39" s="344"/>
      <c r="R39" s="351"/>
    </row>
    <row r="40" spans="2:18" ht="9.75" customHeight="1">
      <c r="B40" s="259"/>
      <c r="C40" s="259"/>
      <c r="D40" s="259"/>
      <c r="E40" s="285" t="s">
        <v>12</v>
      </c>
      <c r="F40" s="285"/>
      <c r="G40" s="287"/>
      <c r="H40" s="287"/>
      <c r="I40" s="287"/>
      <c r="J40" s="287"/>
      <c r="N40" s="341"/>
      <c r="O40" s="341"/>
      <c r="P40" s="341"/>
      <c r="Q40" s="341"/>
    </row>
    <row r="41" spans="2:18">
      <c r="B41" s="259" t="s">
        <v>269</v>
      </c>
      <c r="C41" s="259"/>
      <c r="D41" s="259"/>
      <c r="E41" s="286" t="s">
        <v>10</v>
      </c>
      <c r="F41" s="286"/>
      <c r="G41" s="287" t="s">
        <v>313</v>
      </c>
      <c r="H41" s="287"/>
      <c r="I41" s="287"/>
      <c r="J41" s="287"/>
      <c r="N41" s="341"/>
      <c r="O41" s="341"/>
      <c r="P41" s="341"/>
      <c r="Q41" s="341"/>
    </row>
    <row r="42" spans="2:18" ht="10.5" customHeight="1">
      <c r="B42" s="61"/>
      <c r="C42" s="61"/>
      <c r="D42" s="61"/>
      <c r="E42" s="285" t="s">
        <v>12</v>
      </c>
      <c r="F42" s="285"/>
      <c r="G42" s="100"/>
      <c r="H42" s="117"/>
      <c r="I42" s="263"/>
      <c r="J42" s="62"/>
      <c r="N42" s="341"/>
      <c r="O42" s="341"/>
      <c r="P42" s="341"/>
      <c r="Q42" s="341"/>
    </row>
    <row r="43" spans="2:18">
      <c r="B43" s="259" t="s">
        <v>270</v>
      </c>
      <c r="C43" s="259"/>
      <c r="D43" s="259"/>
      <c r="E43" s="286" t="s">
        <v>10</v>
      </c>
      <c r="F43" s="286"/>
      <c r="G43" s="287" t="s">
        <v>244</v>
      </c>
      <c r="H43" s="287"/>
      <c r="I43" s="287"/>
      <c r="J43" s="287"/>
      <c r="N43" s="341"/>
      <c r="O43" s="341"/>
      <c r="P43" s="341"/>
      <c r="Q43" s="341"/>
    </row>
    <row r="44" spans="2:18" ht="9.75" customHeight="1">
      <c r="E44" s="285" t="s">
        <v>12</v>
      </c>
      <c r="F44" s="285"/>
    </row>
  </sheetData>
  <mergeCells count="46">
    <mergeCell ref="E44:F44"/>
    <mergeCell ref="E41:F41"/>
    <mergeCell ref="G41:H41"/>
    <mergeCell ref="I41:J41"/>
    <mergeCell ref="E42:F42"/>
    <mergeCell ref="E43:F43"/>
    <mergeCell ref="G43:H43"/>
    <mergeCell ref="I43:J43"/>
    <mergeCell ref="E39:F39"/>
    <mergeCell ref="G39:H39"/>
    <mergeCell ref="I39:J39"/>
    <mergeCell ref="E40:F40"/>
    <mergeCell ref="G40:H40"/>
    <mergeCell ref="I40:J40"/>
    <mergeCell ref="E37:F37"/>
    <mergeCell ref="G37:H37"/>
    <mergeCell ref="E38:F38"/>
    <mergeCell ref="G38:H38"/>
    <mergeCell ref="I38:J38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1:E11"/>
    <mergeCell ref="B31:I31"/>
    <mergeCell ref="D32:E32"/>
    <mergeCell ref="F32:G32"/>
    <mergeCell ref="H32:I32"/>
    <mergeCell ref="D36:E36"/>
    <mergeCell ref="F36:G36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H36:I36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1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85546875" style="1" customWidth="1"/>
    <col min="3" max="3" width="11.85546875" style="3" customWidth="1"/>
    <col min="4" max="4" width="8.42578125" style="3" customWidth="1"/>
    <col min="5" max="5" width="9.42578125" style="3" customWidth="1"/>
    <col min="6" max="6" width="10.28515625" style="3" customWidth="1"/>
    <col min="7" max="7" width="10.140625" style="1" customWidth="1"/>
    <col min="8" max="8" width="10.28515625" style="1" customWidth="1"/>
    <col min="9" max="9" width="11.28515625" style="1" customWidth="1"/>
    <col min="10" max="10" width="11.85546875" style="1" customWidth="1"/>
    <col min="11" max="13" width="9.140625" style="1"/>
    <col min="14" max="15" width="13.42578125" style="339" customWidth="1"/>
    <col min="16" max="17" width="13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215</v>
      </c>
      <c r="E5" s="299"/>
      <c r="F5" s="299"/>
    </row>
    <row r="6" spans="1:18">
      <c r="B6" s="1" t="s">
        <v>1</v>
      </c>
      <c r="D6" s="28">
        <v>1990</v>
      </c>
      <c r="E6" s="28"/>
      <c r="F6" s="28"/>
    </row>
    <row r="7" spans="1:18" hidden="1" outlineLevel="1">
      <c r="B7" s="1" t="s">
        <v>2</v>
      </c>
      <c r="D7" s="28">
        <v>4</v>
      </c>
      <c r="E7" s="28"/>
      <c r="F7" s="28"/>
    </row>
    <row r="8" spans="1:18" hidden="1" outlineLevel="1">
      <c r="B8" s="1" t="s">
        <v>3</v>
      </c>
      <c r="D8" s="28">
        <v>30</v>
      </c>
      <c r="E8" s="28"/>
      <c r="F8" s="28"/>
    </row>
    <row r="9" spans="1:18" ht="30.75" hidden="1" customHeight="1" outlineLevel="1">
      <c r="B9" s="2" t="s">
        <v>4</v>
      </c>
      <c r="C9" s="7"/>
      <c r="D9" s="28" t="s">
        <v>216</v>
      </c>
      <c r="E9" s="28"/>
      <c r="F9" s="28"/>
    </row>
    <row r="10" spans="1:18" collapsed="1">
      <c r="B10" s="1" t="s">
        <v>5</v>
      </c>
      <c r="D10" s="38" t="s">
        <v>264</v>
      </c>
      <c r="E10" s="28"/>
      <c r="F10" s="28"/>
      <c r="J10" s="10"/>
    </row>
    <row r="11" spans="1:18" hidden="1" outlineLevel="1">
      <c r="B11" s="1" t="s">
        <v>6</v>
      </c>
      <c r="D11" s="28" t="s">
        <v>16</v>
      </c>
      <c r="E11" s="28"/>
      <c r="F11" s="28"/>
    </row>
    <row r="12" spans="1:18" ht="30.75" hidden="1" customHeight="1" outlineLevel="1">
      <c r="B12" s="2" t="s">
        <v>7</v>
      </c>
      <c r="C12" s="7"/>
      <c r="D12" s="323" t="s">
        <v>217</v>
      </c>
      <c r="E12" s="323"/>
      <c r="F12" s="28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92966.75</v>
      </c>
      <c r="O15" s="341">
        <v>104574.29</v>
      </c>
      <c r="P15" s="341">
        <f>88134.3*1.05</f>
        <v>92541.015000000014</v>
      </c>
      <c r="Q15" s="341">
        <f>98553.42*1.05</f>
        <v>103481.091</v>
      </c>
      <c r="R15" s="339">
        <f>(N15+O15)/(P15+Q15)*100</f>
        <v>100.77487893125685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21824.454639232994</v>
      </c>
      <c r="H16" s="81">
        <f>($P$15/$P$16*E16)+($Q$15/$Q$16*F16)</f>
        <v>21659.488486812021</v>
      </c>
      <c r="I16" s="82">
        <f>H16-G16</f>
        <v>-164.96615242097323</v>
      </c>
      <c r="J16" s="43"/>
      <c r="K16" s="12"/>
      <c r="L16" s="12"/>
      <c r="M16" s="13"/>
      <c r="N16" s="342">
        <v>8.73</v>
      </c>
      <c r="O16" s="341">
        <v>9.92</v>
      </c>
      <c r="P16" s="342">
        <v>8.73</v>
      </c>
      <c r="Q16" s="341">
        <v>9.92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67">
        <v>1.1299999999999999</v>
      </c>
      <c r="F17" s="230">
        <v>1.17</v>
      </c>
      <c r="G17" s="80">
        <f t="shared" ref="G17:G27" si="0">($N$15/$N$16*E17)+($O$15/$O$16*F17)</f>
        <v>24367.359682604016</v>
      </c>
      <c r="H17" s="53">
        <f t="shared" ref="H17:H27" si="1">($P$15/$P$16*E17)+($Q$15/$Q$16*F17)</f>
        <v>24183.317321240022</v>
      </c>
      <c r="I17" s="82">
        <f t="shared" ref="I17:I27" si="2">H17-G17</f>
        <v>-184.04236136399413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67">
        <v>0.28000000000000003</v>
      </c>
      <c r="F18" s="230">
        <v>0.27</v>
      </c>
      <c r="G18" s="80">
        <f t="shared" si="0"/>
        <v>5828.0274701506669</v>
      </c>
      <c r="H18" s="53">
        <f t="shared" si="1"/>
        <v>5784.6183310712513</v>
      </c>
      <c r="I18" s="82">
        <f t="shared" si="2"/>
        <v>-43.409139079415581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67">
        <v>0.16</v>
      </c>
      <c r="F19" s="230">
        <v>0.16</v>
      </c>
      <c r="G19" s="80">
        <f t="shared" si="0"/>
        <v>3390.5400578280305</v>
      </c>
      <c r="H19" s="53">
        <f t="shared" si="1"/>
        <v>3365.1051125706686</v>
      </c>
      <c r="I19" s="82">
        <f t="shared" si="2"/>
        <v>-25.43494525736196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67">
        <v>1.1399999999999999</v>
      </c>
      <c r="F20" s="230">
        <v>1.33</v>
      </c>
      <c r="G20" s="80">
        <f t="shared" si="0"/>
        <v>26160.532901944069</v>
      </c>
      <c r="H20" s="53">
        <f t="shared" si="1"/>
        <v>25958.370629686979</v>
      </c>
      <c r="I20" s="82">
        <f t="shared" si="2"/>
        <v>-202.16227225709008</v>
      </c>
      <c r="J20" s="5"/>
      <c r="N20" s="341"/>
      <c r="O20" s="341"/>
      <c r="P20" s="341"/>
      <c r="Q20" s="341"/>
    </row>
    <row r="21" spans="2:18" ht="153">
      <c r="B21" s="102" t="s">
        <v>282</v>
      </c>
      <c r="C21" s="76" t="s">
        <v>303</v>
      </c>
      <c r="D21" s="77" t="s">
        <v>300</v>
      </c>
      <c r="E21" s="267">
        <v>3.67</v>
      </c>
      <c r="F21" s="230">
        <v>3.33</v>
      </c>
      <c r="G21" s="80">
        <f t="shared" si="0"/>
        <v>74186.313120785286</v>
      </c>
      <c r="H21" s="53">
        <f t="shared" si="1"/>
        <v>73640.367578057456</v>
      </c>
      <c r="I21" s="82">
        <f t="shared" si="2"/>
        <v>-545.94554272782989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67">
        <v>1.94</v>
      </c>
      <c r="F22" s="230">
        <v>2</v>
      </c>
      <c r="G22" s="80">
        <v>40120.5</v>
      </c>
      <c r="H22" s="53">
        <v>40732.21</v>
      </c>
      <c r="I22" s="82">
        <f t="shared" si="2"/>
        <v>611.70999999999913</v>
      </c>
      <c r="J22" s="5"/>
      <c r="N22" s="341"/>
      <c r="O22" s="341"/>
      <c r="P22" s="341"/>
      <c r="Q22" s="341"/>
      <c r="R22" s="351"/>
    </row>
    <row r="23" spans="2:18" ht="121.5" customHeight="1">
      <c r="B23" s="102" t="s">
        <v>305</v>
      </c>
      <c r="C23" s="76" t="s">
        <v>299</v>
      </c>
      <c r="D23" s="77" t="s">
        <v>300</v>
      </c>
      <c r="E23" s="267">
        <v>0.22</v>
      </c>
      <c r="F23" s="230">
        <v>0.21</v>
      </c>
      <c r="G23" s="80">
        <f t="shared" si="0"/>
        <v>4556.5749484651551</v>
      </c>
      <c r="H23" s="53">
        <f t="shared" si="1"/>
        <v>4522.70391385725</v>
      </c>
      <c r="I23" s="82">
        <f t="shared" si="2"/>
        <v>-33.871034607905131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67">
        <v>4.99</v>
      </c>
      <c r="F24" s="230">
        <v>3.79</v>
      </c>
      <c r="G24" s="80">
        <v>93499.21</v>
      </c>
      <c r="H24" s="53">
        <v>55152</v>
      </c>
      <c r="I24" s="82">
        <f t="shared" si="2"/>
        <v>-38347.210000000006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67">
        <v>0.71</v>
      </c>
      <c r="F25" s="230">
        <v>1.44</v>
      </c>
      <c r="G25" s="80">
        <f t="shared" si="0"/>
        <v>22741.008573144143</v>
      </c>
      <c r="H25" s="53">
        <f t="shared" si="1"/>
        <v>22547.693899733953</v>
      </c>
      <c r="I25" s="82">
        <f t="shared" si="2"/>
        <v>-193.31467341019015</v>
      </c>
      <c r="J25" s="5"/>
      <c r="K25" s="266"/>
      <c r="L25" s="266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67">
        <v>0.25</v>
      </c>
      <c r="F26" s="230">
        <v>0.83</v>
      </c>
      <c r="G26" s="80">
        <f t="shared" si="0"/>
        <v>11411.941441162748</v>
      </c>
      <c r="H26" s="53">
        <f t="shared" si="1"/>
        <v>11308.282462181991</v>
      </c>
      <c r="I26" s="82">
        <f t="shared" si="2"/>
        <v>-103.65897898075673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0.16</v>
      </c>
      <c r="F27" s="106">
        <v>0.13</v>
      </c>
      <c r="G27" s="107">
        <f t="shared" si="0"/>
        <v>3074.2871646828694</v>
      </c>
      <c r="H27" s="119">
        <f t="shared" si="1"/>
        <v>3052.1582647884106</v>
      </c>
      <c r="I27" s="109">
        <f t="shared" si="2"/>
        <v>-22.128899894458755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15.66</v>
      </c>
      <c r="F28" s="113">
        <f>SUM(F16:F27)</f>
        <v>15.710000000000003</v>
      </c>
      <c r="G28" s="114">
        <f>SUM(G16:G27)</f>
        <v>331160.75</v>
      </c>
      <c r="H28" s="115">
        <f>SUM(H16:H27)</f>
        <v>291906.31599999999</v>
      </c>
      <c r="I28" s="116">
        <f>H28-G28</f>
        <v>-39254.434000000008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G29" s="3"/>
      <c r="H29" s="3"/>
      <c r="I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3.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69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331160.75</v>
      </c>
      <c r="E32" s="296"/>
      <c r="F32" s="295">
        <f>92966.75+104574.29+40120.5</f>
        <v>237661.53999999998</v>
      </c>
      <c r="G32" s="296"/>
      <c r="H32" s="295">
        <f>G24</f>
        <v>93499.21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328638.02999999997</v>
      </c>
      <c r="E33" s="296"/>
      <c r="F33" s="295">
        <f>92594.14+104155.15+38764.28</f>
        <v>235513.56999999998</v>
      </c>
      <c r="G33" s="296"/>
      <c r="H33" s="295">
        <v>93124.46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291906.31599999999</v>
      </c>
      <c r="E34" s="315"/>
      <c r="F34" s="314">
        <f>H16+H17+H18+H19+H20+H21+H22+H23+H25+H26+H27</f>
        <v>236754.31599999999</v>
      </c>
      <c r="G34" s="315"/>
      <c r="H34" s="314">
        <f>H24</f>
        <v>55152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36731.713999999993</v>
      </c>
      <c r="E35" s="318"/>
      <c r="F35" s="319">
        <f>F33-F34</f>
        <v>-1240.7460000000137</v>
      </c>
      <c r="G35" s="320"/>
      <c r="H35" s="319">
        <f>H33-H34</f>
        <v>37972.460000000006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65" t="s">
        <v>267</v>
      </c>
      <c r="C36" s="265"/>
      <c r="D36" s="265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65"/>
      <c r="C37" s="265"/>
      <c r="D37" s="265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65" t="s">
        <v>268</v>
      </c>
      <c r="C38" s="265"/>
      <c r="D38" s="265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65"/>
      <c r="C39" s="265"/>
      <c r="D39" s="265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65" t="s">
        <v>269</v>
      </c>
      <c r="C40" s="265"/>
      <c r="D40" s="265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68"/>
      <c r="J41" s="62"/>
      <c r="N41" s="341"/>
      <c r="O41" s="341"/>
      <c r="P41" s="341"/>
      <c r="Q41" s="341"/>
    </row>
    <row r="42" spans="2:18">
      <c r="B42" s="265" t="s">
        <v>270</v>
      </c>
      <c r="C42" s="265"/>
      <c r="D42" s="265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</row>
  </sheetData>
  <mergeCells count="46">
    <mergeCell ref="E43:F43"/>
    <mergeCell ref="B30:I30"/>
    <mergeCell ref="D31:E31"/>
    <mergeCell ref="F31:G31"/>
    <mergeCell ref="H31:I31"/>
    <mergeCell ref="E36:F36"/>
    <mergeCell ref="G36:H36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5:E35"/>
    <mergeCell ref="F35:G35"/>
    <mergeCell ref="H35:I35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I40:J40"/>
    <mergeCell ref="E41:F41"/>
    <mergeCell ref="E42:F42"/>
    <mergeCell ref="G42:H42"/>
    <mergeCell ref="I42:J42"/>
    <mergeCell ref="E40:F40"/>
    <mergeCell ref="G40:H40"/>
  </mergeCells>
  <printOptions horizontalCentered="1"/>
  <pageMargins left="0.19685039370078741" right="0.19685039370078741" top="0.15748031496062992" bottom="0.27559055118110237" header="0.55118110236220474" footer="0.31496062992125984"/>
  <pageSetup paperSize="9" scale="4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="110" zoomScaleNormal="110" workbookViewId="0">
      <selection activeCell="D14" sqref="D14:D15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1.42578125" style="3" customWidth="1"/>
    <col min="4" max="4" width="8.85546875" style="3" customWidth="1"/>
    <col min="5" max="5" width="9.5703125" style="3" customWidth="1"/>
    <col min="6" max="6" width="9.7109375" style="3" customWidth="1"/>
    <col min="7" max="7" width="10.42578125" style="3" customWidth="1"/>
    <col min="8" max="8" width="10.42578125" style="1" customWidth="1"/>
    <col min="9" max="9" width="11.140625" style="3" customWidth="1"/>
    <col min="10" max="10" width="10.7109375" style="1" bestFit="1" customWidth="1"/>
    <col min="11" max="11" width="12.140625" style="1" customWidth="1"/>
    <col min="12" max="12" width="13.85546875" style="1" customWidth="1"/>
    <col min="13" max="13" width="9.140625" style="1"/>
    <col min="14" max="14" width="12.42578125" style="339" customWidth="1"/>
    <col min="15" max="15" width="13.28515625" style="339" customWidth="1"/>
    <col min="16" max="16" width="11.85546875" style="339" customWidth="1"/>
    <col min="17" max="17" width="11.28515625" style="339" customWidth="1"/>
    <col min="18" max="18" width="9.140625" style="339"/>
    <col min="19" max="16384" width="9.140625" style="1"/>
  </cols>
  <sheetData>
    <row r="1" spans="1:18">
      <c r="B1" s="39"/>
      <c r="C1" s="39"/>
      <c r="D1" s="39"/>
      <c r="E1" s="39"/>
      <c r="F1" s="39"/>
      <c r="G1" s="39"/>
      <c r="H1" s="39"/>
      <c r="I1" s="39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.7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218</v>
      </c>
      <c r="E5" s="299"/>
      <c r="F5" s="299"/>
    </row>
    <row r="6" spans="1:18">
      <c r="B6" s="1" t="s">
        <v>1</v>
      </c>
      <c r="D6" s="28">
        <v>1988</v>
      </c>
      <c r="E6" s="28"/>
      <c r="F6" s="28"/>
    </row>
    <row r="7" spans="1:18" hidden="1" outlineLevel="1">
      <c r="B7" s="1" t="s">
        <v>2</v>
      </c>
      <c r="D7" s="28">
        <v>5</v>
      </c>
      <c r="E7" s="28"/>
      <c r="F7" s="28"/>
    </row>
    <row r="8" spans="1:18" hidden="1" outlineLevel="1">
      <c r="B8" s="1" t="s">
        <v>3</v>
      </c>
      <c r="D8" s="28">
        <v>55</v>
      </c>
      <c r="E8" s="28"/>
      <c r="F8" s="28"/>
    </row>
    <row r="9" spans="1:18" ht="31.5" hidden="1" outlineLevel="1">
      <c r="B9" s="2" t="s">
        <v>4</v>
      </c>
      <c r="C9" s="7"/>
      <c r="D9" s="28" t="s">
        <v>219</v>
      </c>
      <c r="E9" s="28"/>
      <c r="F9" s="28"/>
    </row>
    <row r="10" spans="1:18" collapsed="1">
      <c r="B10" s="1" t="s">
        <v>5</v>
      </c>
      <c r="D10" s="66" t="s">
        <v>318</v>
      </c>
      <c r="E10" s="28"/>
      <c r="F10" s="28"/>
      <c r="J10" s="10"/>
    </row>
    <row r="11" spans="1:18" hidden="1" outlineLevel="1">
      <c r="B11" s="1" t="s">
        <v>6</v>
      </c>
      <c r="D11" s="28" t="s">
        <v>16</v>
      </c>
      <c r="E11" s="28"/>
      <c r="F11" s="28"/>
    </row>
    <row r="12" spans="1:18" ht="31.5" hidden="1" outlineLevel="1">
      <c r="B12" s="2" t="s">
        <v>7</v>
      </c>
      <c r="C12" s="7"/>
      <c r="D12" s="323" t="s">
        <v>220</v>
      </c>
      <c r="E12" s="323"/>
      <c r="F12" s="28"/>
      <c r="J12" s="10"/>
    </row>
    <row r="13" spans="1:18" ht="33.7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9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321</v>
      </c>
      <c r="M14" s="10"/>
      <c r="N14" s="340"/>
      <c r="O14" s="340"/>
      <c r="P14" s="340"/>
      <c r="Q14" s="340"/>
    </row>
    <row r="15" spans="1:18" ht="39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106048.19</v>
      </c>
      <c r="O15" s="341">
        <v>118399.03</v>
      </c>
      <c r="P15" s="341">
        <f>92305.56*1.14</f>
        <v>105228.33839999999</v>
      </c>
      <c r="Q15" s="341">
        <f>103217.8*1.14</f>
        <v>117668.29199999999</v>
      </c>
      <c r="R15" s="339">
        <f>(N15+O15)/(P15+Q15)*100</f>
        <v>100.69565412326666</v>
      </c>
    </row>
    <row r="16" spans="1:18" ht="49.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23269.172558481492</v>
      </c>
      <c r="H16" s="81">
        <f>($P$15/$P$16*E16)+($Q$15/$Q$16*F16)</f>
        <v>23107.775053759477</v>
      </c>
      <c r="I16" s="82">
        <f>H16-G16</f>
        <v>-161.39750472201558</v>
      </c>
      <c r="J16" s="43"/>
      <c r="K16" s="12"/>
      <c r="L16" s="12"/>
      <c r="M16" s="13"/>
      <c r="N16" s="342">
        <v>9.39</v>
      </c>
      <c r="O16" s="341">
        <v>10.48</v>
      </c>
      <c r="P16" s="342">
        <v>9.39</v>
      </c>
      <c r="Q16" s="341">
        <v>10.48</v>
      </c>
    </row>
    <row r="17" spans="2:17" ht="51">
      <c r="B17" s="102" t="s">
        <v>301</v>
      </c>
      <c r="C17" s="76" t="s">
        <v>299</v>
      </c>
      <c r="D17" s="77" t="s">
        <v>300</v>
      </c>
      <c r="E17" s="71">
        <v>1.1299999999999999</v>
      </c>
      <c r="F17" s="69">
        <v>1.17</v>
      </c>
      <c r="G17" s="80">
        <f t="shared" ref="G17:G29" si="0">($N$15/$N$16*E17)+($O$15/$O$16*F17)</f>
        <v>25980.135076955747</v>
      </c>
      <c r="H17" s="81">
        <f t="shared" ref="H17:H21" si="1">($P$15/$P$16*E17)+($Q$15/$Q$16*F17)</f>
        <v>25799.893006484883</v>
      </c>
      <c r="I17" s="82">
        <f t="shared" ref="I17:I29" si="2">H17-G17</f>
        <v>-180.24207047086384</v>
      </c>
      <c r="J17" s="34"/>
      <c r="K17" s="6"/>
      <c r="L17" s="6"/>
      <c r="M17" s="6"/>
      <c r="N17" s="343"/>
      <c r="O17" s="344"/>
      <c r="P17" s="344"/>
      <c r="Q17" s="344"/>
    </row>
    <row r="18" spans="2:17" ht="51.75" customHeight="1">
      <c r="B18" s="84" t="s">
        <v>271</v>
      </c>
      <c r="C18" s="76" t="s">
        <v>299</v>
      </c>
      <c r="D18" s="77" t="s">
        <v>300</v>
      </c>
      <c r="E18" s="71">
        <v>0.28000000000000003</v>
      </c>
      <c r="F18" s="69">
        <v>0.27</v>
      </c>
      <c r="G18" s="80">
        <f t="shared" si="0"/>
        <v>6212.6030361091471</v>
      </c>
      <c r="H18" s="81">
        <f t="shared" si="1"/>
        <v>6169.3296517791377</v>
      </c>
      <c r="I18" s="82">
        <f t="shared" si="2"/>
        <v>-43.273384330009321</v>
      </c>
      <c r="J18" s="5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71">
        <v>0.22</v>
      </c>
      <c r="F19" s="69">
        <v>0.22</v>
      </c>
      <c r="G19" s="80">
        <f t="shared" si="0"/>
        <v>4970.0979505361393</v>
      </c>
      <c r="H19" s="81">
        <f t="shared" si="1"/>
        <v>4935.5495799965847</v>
      </c>
      <c r="I19" s="82">
        <f t="shared" si="2"/>
        <v>-34.548370539554526</v>
      </c>
      <c r="J19" s="5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71">
        <v>1.1399999999999999</v>
      </c>
      <c r="F20" s="69">
        <v>1.33</v>
      </c>
      <c r="G20" s="80">
        <f t="shared" si="0"/>
        <v>27900.69122512377</v>
      </c>
      <c r="H20" s="81">
        <f t="shared" si="1"/>
        <v>27708.419737914293</v>
      </c>
      <c r="I20" s="82">
        <f t="shared" si="2"/>
        <v>-192.27148720947662</v>
      </c>
      <c r="J20" s="5"/>
      <c r="N20" s="341"/>
      <c r="O20" s="341"/>
      <c r="P20" s="341"/>
      <c r="Q20" s="341"/>
    </row>
    <row r="21" spans="2:17" ht="144.75" customHeight="1">
      <c r="B21" s="102" t="s">
        <v>282</v>
      </c>
      <c r="C21" s="76" t="s">
        <v>303</v>
      </c>
      <c r="D21" s="77" t="s">
        <v>300</v>
      </c>
      <c r="E21" s="71">
        <v>3.67</v>
      </c>
      <c r="F21" s="69">
        <v>3.33</v>
      </c>
      <c r="G21" s="80">
        <f t="shared" si="0"/>
        <v>79069.080452090901</v>
      </c>
      <c r="H21" s="81">
        <f t="shared" si="1"/>
        <v>78516.457965126931</v>
      </c>
      <c r="I21" s="82">
        <f t="shared" si="2"/>
        <v>-552.62248696397</v>
      </c>
      <c r="J21" s="34"/>
      <c r="K21" s="6"/>
      <c r="L21" s="6"/>
      <c r="M21" s="11"/>
      <c r="N21" s="344"/>
      <c r="O21" s="344"/>
      <c r="P21" s="344"/>
      <c r="Q21" s="344"/>
    </row>
    <row r="22" spans="2:17" ht="30.75" customHeight="1">
      <c r="B22" s="84" t="s">
        <v>304</v>
      </c>
      <c r="C22" s="76" t="s">
        <v>302</v>
      </c>
      <c r="D22" s="77" t="s">
        <v>300</v>
      </c>
      <c r="E22" s="71">
        <v>1.94</v>
      </c>
      <c r="F22" s="69">
        <v>2.1</v>
      </c>
      <c r="G22" s="80">
        <v>41883.480000000003</v>
      </c>
      <c r="H22" s="53">
        <v>42660</v>
      </c>
      <c r="I22" s="82">
        <f t="shared" si="2"/>
        <v>776.5199999999968</v>
      </c>
      <c r="J22" s="5"/>
      <c r="N22" s="341"/>
      <c r="O22" s="341"/>
      <c r="P22" s="341"/>
      <c r="Q22" s="341"/>
    </row>
    <row r="23" spans="2:17" ht="102">
      <c r="B23" s="102" t="s">
        <v>305</v>
      </c>
      <c r="C23" s="76" t="s">
        <v>299</v>
      </c>
      <c r="D23" s="77" t="s">
        <v>300</v>
      </c>
      <c r="E23" s="71">
        <v>0.22</v>
      </c>
      <c r="F23" s="69">
        <v>0.21</v>
      </c>
      <c r="G23" s="80">
        <f t="shared" si="0"/>
        <v>4857.1217768720171</v>
      </c>
      <c r="H23" s="81">
        <f t="shared" ref="H23" si="3">($P$15/$P$16*E23)+($Q$15/$Q$16*F23)</f>
        <v>4823.2706754164319</v>
      </c>
      <c r="I23" s="82">
        <f t="shared" si="2"/>
        <v>-33.851101455585194</v>
      </c>
      <c r="J23" s="5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71">
        <v>4.34</v>
      </c>
      <c r="F24" s="69">
        <v>4.34</v>
      </c>
      <c r="G24" s="80">
        <v>98029.64</v>
      </c>
      <c r="H24" s="53">
        <v>75783</v>
      </c>
      <c r="I24" s="82">
        <f t="shared" si="2"/>
        <v>-22246.639999999999</v>
      </c>
      <c r="J24" s="5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71">
        <v>0.71</v>
      </c>
      <c r="F25" s="69">
        <v>1.44</v>
      </c>
      <c r="G25" s="80">
        <f t="shared" si="0"/>
        <v>24287.12224512027</v>
      </c>
      <c r="H25" s="81">
        <f t="shared" ref="H25:H29" si="4">($P$15/$P$16*E25)+($Q$15/$Q$16*F25)</f>
        <v>24124.724587976485</v>
      </c>
      <c r="I25" s="82">
        <f t="shared" si="2"/>
        <v>-162.39765714378518</v>
      </c>
      <c r="J25" s="5"/>
      <c r="K25" s="68"/>
      <c r="L25" s="68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71">
        <v>0.25</v>
      </c>
      <c r="F26" s="69">
        <v>0.73</v>
      </c>
      <c r="G26" s="80">
        <f t="shared" si="0"/>
        <v>11070.694916032566</v>
      </c>
      <c r="H26" s="81">
        <f t="shared" si="4"/>
        <v>10997.966488025264</v>
      </c>
      <c r="I26" s="82">
        <f t="shared" si="2"/>
        <v>-72.728428007301773</v>
      </c>
      <c r="J26" s="5"/>
      <c r="K26" s="85"/>
      <c r="L26" s="85"/>
      <c r="M26" s="10"/>
      <c r="N26" s="345">
        <f>K26-L26</f>
        <v>0</v>
      </c>
      <c r="O26" s="345"/>
      <c r="P26" s="341"/>
      <c r="Q26" s="341"/>
    </row>
    <row r="27" spans="2:17" ht="24">
      <c r="B27" s="84" t="s">
        <v>279</v>
      </c>
      <c r="C27" s="76" t="s">
        <v>302</v>
      </c>
      <c r="D27" s="77" t="s">
        <v>300</v>
      </c>
      <c r="E27" s="71">
        <v>0.3</v>
      </c>
      <c r="F27" s="69">
        <v>0.3</v>
      </c>
      <c r="G27" s="80">
        <f>($N$15/$N$16*E27)+($O$15/$O$16*F27)</f>
        <v>6777.4062961856444</v>
      </c>
      <c r="H27" s="81">
        <f t="shared" si="4"/>
        <v>6730.2948818135246</v>
      </c>
      <c r="I27" s="82">
        <f t="shared" si="2"/>
        <v>-47.111414372119725</v>
      </c>
      <c r="J27" s="5"/>
      <c r="K27" s="85"/>
      <c r="L27" s="85"/>
      <c r="M27" s="10"/>
      <c r="N27" s="345"/>
      <c r="O27" s="345"/>
      <c r="P27" s="341"/>
      <c r="Q27" s="341"/>
    </row>
    <row r="28" spans="2:17">
      <c r="B28" s="84" t="s">
        <v>314</v>
      </c>
      <c r="C28" s="83" t="s">
        <v>315</v>
      </c>
      <c r="D28" s="77" t="s">
        <v>300</v>
      </c>
      <c r="E28" s="71"/>
      <c r="F28" s="69"/>
      <c r="G28" s="80"/>
      <c r="H28" s="121">
        <v>5610.07</v>
      </c>
      <c r="I28" s="82">
        <f t="shared" si="2"/>
        <v>5610.07</v>
      </c>
      <c r="J28" s="5"/>
      <c r="K28" s="85"/>
      <c r="L28" s="85"/>
      <c r="M28" s="10"/>
      <c r="N28" s="341"/>
      <c r="O28" s="341"/>
      <c r="P28" s="341"/>
      <c r="Q28" s="341"/>
    </row>
    <row r="29" spans="2:17" ht="16.5" thickBot="1">
      <c r="B29" s="103" t="s">
        <v>273</v>
      </c>
      <c r="C29" s="104" t="s">
        <v>303</v>
      </c>
      <c r="D29" s="105" t="s">
        <v>300</v>
      </c>
      <c r="E29" s="64">
        <v>0.46</v>
      </c>
      <c r="F29" s="106">
        <v>0.43</v>
      </c>
      <c r="G29" s="107">
        <f t="shared" si="0"/>
        <v>10053.09446649229</v>
      </c>
      <c r="H29" s="108">
        <f t="shared" si="4"/>
        <v>9982.948771706946</v>
      </c>
      <c r="I29" s="109">
        <f t="shared" si="2"/>
        <v>-70.145694785343949</v>
      </c>
      <c r="J29" s="5"/>
      <c r="N29" s="341"/>
      <c r="O29" s="341"/>
      <c r="P29" s="341"/>
      <c r="Q29" s="341"/>
    </row>
    <row r="30" spans="2:17" ht="16.5" thickBot="1">
      <c r="B30" s="110" t="s">
        <v>278</v>
      </c>
      <c r="C30" s="111"/>
      <c r="D30" s="111"/>
      <c r="E30" s="112">
        <f>SUM(E16:E29)</f>
        <v>15.670000000000002</v>
      </c>
      <c r="F30" s="113">
        <f>SUM(F16:F29)</f>
        <v>16.920000000000002</v>
      </c>
      <c r="G30" s="114">
        <f>SUM(G16:G29)</f>
        <v>364360.33999999997</v>
      </c>
      <c r="H30" s="115">
        <f>SUM(H16:H29)</f>
        <v>346949.70039999991</v>
      </c>
      <c r="I30" s="116">
        <f>H30-G30</f>
        <v>-17410.639600000053</v>
      </c>
      <c r="J30" s="5"/>
      <c r="N30" s="341"/>
      <c r="O30" s="341"/>
      <c r="P30" s="341"/>
      <c r="Q30" s="341"/>
    </row>
    <row r="31" spans="2:17">
      <c r="B31" s="10"/>
      <c r="C31" s="10"/>
      <c r="D31" s="10"/>
      <c r="E31" s="46"/>
      <c r="F31" s="46"/>
      <c r="G31" s="46"/>
      <c r="H31" s="46"/>
      <c r="N31" s="341"/>
      <c r="O31" s="341"/>
      <c r="P31" s="341"/>
      <c r="Q31" s="341"/>
    </row>
    <row r="32" spans="2:17" ht="16.5" thickBot="1">
      <c r="B32" s="326" t="s">
        <v>308</v>
      </c>
      <c r="C32" s="326"/>
      <c r="D32" s="326"/>
      <c r="E32" s="326"/>
      <c r="F32" s="326"/>
      <c r="G32" s="326"/>
      <c r="H32" s="326"/>
      <c r="I32" s="326"/>
      <c r="J32" s="40"/>
      <c r="K32" s="40"/>
      <c r="N32" s="341"/>
      <c r="O32" s="341"/>
      <c r="P32" s="341"/>
      <c r="Q32" s="341"/>
    </row>
    <row r="33" spans="2:17" ht="48" customHeight="1">
      <c r="B33" s="56"/>
      <c r="C33" s="91"/>
      <c r="D33" s="290" t="s">
        <v>309</v>
      </c>
      <c r="E33" s="291"/>
      <c r="F33" s="292" t="s">
        <v>8</v>
      </c>
      <c r="G33" s="293"/>
      <c r="H33" s="292" t="s">
        <v>9</v>
      </c>
      <c r="I33" s="294"/>
      <c r="J33" s="123"/>
      <c r="K33" s="124"/>
      <c r="L33" s="44"/>
      <c r="M33" s="67"/>
      <c r="N33" s="345"/>
      <c r="O33" s="345"/>
      <c r="P33" s="345"/>
      <c r="Q33" s="345"/>
    </row>
    <row r="34" spans="2:17">
      <c r="B34" s="57" t="s">
        <v>18</v>
      </c>
      <c r="C34" s="94"/>
      <c r="D34" s="295">
        <f>F34+H34</f>
        <v>364360.34</v>
      </c>
      <c r="E34" s="296"/>
      <c r="F34" s="295">
        <f>106048.19+118399.03+41883.48</f>
        <v>266330.7</v>
      </c>
      <c r="G34" s="296"/>
      <c r="H34" s="295">
        <f>G24</f>
        <v>98029.64</v>
      </c>
      <c r="I34" s="297"/>
      <c r="J34" s="125"/>
      <c r="K34" s="126"/>
      <c r="L34" s="5"/>
      <c r="M34" s="5"/>
      <c r="N34" s="341"/>
      <c r="O34" s="341"/>
      <c r="P34" s="341"/>
      <c r="Q34" s="341"/>
    </row>
    <row r="35" spans="2:17">
      <c r="B35" s="57" t="s">
        <v>19</v>
      </c>
      <c r="C35" s="94"/>
      <c r="D35" s="295">
        <f>F35+H35</f>
        <v>336426.82</v>
      </c>
      <c r="E35" s="296"/>
      <c r="F35" s="295">
        <f>99246.39+110805.06+34633.23</f>
        <v>244684.68000000002</v>
      </c>
      <c r="G35" s="296"/>
      <c r="H35" s="295">
        <v>91742.14</v>
      </c>
      <c r="I35" s="297"/>
      <c r="J35" s="125"/>
      <c r="K35" s="126"/>
      <c r="L35" s="42"/>
      <c r="M35" s="5"/>
      <c r="N35" s="341"/>
      <c r="O35" s="341"/>
      <c r="P35" s="341"/>
      <c r="Q35" s="341"/>
    </row>
    <row r="36" spans="2:17" ht="16.5" thickBot="1">
      <c r="B36" s="58" t="s">
        <v>277</v>
      </c>
      <c r="C36" s="96"/>
      <c r="D36" s="314">
        <f>F36+H36</f>
        <v>346949.70039999997</v>
      </c>
      <c r="E36" s="315"/>
      <c r="F36" s="314">
        <f>H16+H17+H18+H19+H20+H21+H22+H23+H25+H26+H27+H28+H29</f>
        <v>271166.70039999997</v>
      </c>
      <c r="G36" s="315"/>
      <c r="H36" s="314">
        <f>H24</f>
        <v>75783</v>
      </c>
      <c r="I36" s="316"/>
      <c r="J36" s="125"/>
      <c r="K36" s="126"/>
      <c r="L36" s="5"/>
      <c r="M36" s="5"/>
      <c r="N36" s="341"/>
      <c r="O36" s="341"/>
      <c r="P36" s="341"/>
      <c r="Q36" s="341"/>
    </row>
    <row r="37" spans="2:17" ht="27" thickBot="1">
      <c r="B37" s="60" t="s">
        <v>245</v>
      </c>
      <c r="C37" s="98"/>
      <c r="D37" s="317">
        <f>F37+H37</f>
        <v>-10522.880399999951</v>
      </c>
      <c r="E37" s="318"/>
      <c r="F37" s="319">
        <f>F35-F36</f>
        <v>-26482.02039999995</v>
      </c>
      <c r="G37" s="320"/>
      <c r="H37" s="319">
        <f>H35-H36</f>
        <v>15959.14</v>
      </c>
      <c r="I37" s="321"/>
      <c r="J37" s="125"/>
      <c r="K37" s="126"/>
      <c r="L37" s="5"/>
      <c r="M37" s="5"/>
      <c r="N37" s="341"/>
      <c r="O37" s="341"/>
      <c r="P37" s="341"/>
      <c r="Q37" s="341"/>
    </row>
    <row r="38" spans="2:17" ht="29.25" customHeight="1">
      <c r="B38" s="73" t="s">
        <v>267</v>
      </c>
      <c r="C38" s="73"/>
      <c r="D38" s="73"/>
      <c r="E38" s="327" t="s">
        <v>10</v>
      </c>
      <c r="F38" s="327"/>
      <c r="G38" s="287" t="s">
        <v>11</v>
      </c>
      <c r="H38" s="287"/>
      <c r="I38" s="127"/>
      <c r="J38" s="127"/>
      <c r="K38" s="6"/>
      <c r="L38" s="6"/>
      <c r="M38" s="6"/>
      <c r="N38" s="344"/>
      <c r="O38" s="344"/>
      <c r="P38" s="344"/>
      <c r="Q38" s="344"/>
    </row>
    <row r="39" spans="2:17" ht="9.75" customHeight="1">
      <c r="B39" s="73"/>
      <c r="C39" s="73"/>
      <c r="D39" s="73"/>
      <c r="E39" s="285" t="s">
        <v>12</v>
      </c>
      <c r="F39" s="285"/>
      <c r="G39" s="288"/>
      <c r="H39" s="288"/>
      <c r="I39" s="288"/>
      <c r="J39" s="288"/>
      <c r="K39" s="6"/>
      <c r="L39" s="6"/>
      <c r="M39" s="6"/>
      <c r="N39" s="344"/>
      <c r="O39" s="344"/>
      <c r="P39" s="344"/>
      <c r="Q39" s="344"/>
    </row>
    <row r="40" spans="2:17">
      <c r="B40" s="73" t="s">
        <v>268</v>
      </c>
      <c r="C40" s="73"/>
      <c r="D40" s="73"/>
      <c r="E40" s="286" t="s">
        <v>10</v>
      </c>
      <c r="F40" s="286"/>
      <c r="G40" s="287" t="s">
        <v>312</v>
      </c>
      <c r="H40" s="287"/>
      <c r="I40" s="287"/>
      <c r="J40" s="287"/>
      <c r="K40" s="6"/>
      <c r="L40" s="6"/>
      <c r="M40" s="6"/>
      <c r="N40" s="344"/>
      <c r="O40" s="344"/>
      <c r="P40" s="344"/>
      <c r="Q40" s="344"/>
    </row>
    <row r="41" spans="2:17" ht="10.5" customHeight="1">
      <c r="B41" s="73"/>
      <c r="C41" s="73"/>
      <c r="D41" s="73"/>
      <c r="E41" s="285" t="s">
        <v>12</v>
      </c>
      <c r="F41" s="285"/>
      <c r="G41" s="287"/>
      <c r="H41" s="287"/>
      <c r="I41" s="287"/>
      <c r="J41" s="287"/>
      <c r="N41" s="341"/>
      <c r="O41" s="341"/>
      <c r="P41" s="341"/>
      <c r="Q41" s="341"/>
    </row>
    <row r="42" spans="2:17">
      <c r="B42" s="73" t="s">
        <v>269</v>
      </c>
      <c r="C42" s="73"/>
      <c r="D42" s="73"/>
      <c r="E42" s="286" t="s">
        <v>10</v>
      </c>
      <c r="F42" s="286"/>
      <c r="G42" s="287" t="s">
        <v>313</v>
      </c>
      <c r="H42" s="287"/>
      <c r="I42" s="287"/>
      <c r="J42" s="287"/>
      <c r="N42" s="341"/>
      <c r="O42" s="341"/>
      <c r="P42" s="341"/>
      <c r="Q42" s="341"/>
    </row>
    <row r="43" spans="2:17" ht="9.75" customHeight="1">
      <c r="B43" s="61"/>
      <c r="C43" s="61"/>
      <c r="D43" s="61"/>
      <c r="E43" s="285" t="s">
        <v>12</v>
      </c>
      <c r="F43" s="285"/>
      <c r="G43" s="100"/>
      <c r="H43" s="117"/>
      <c r="I43" s="100"/>
      <c r="J43" s="117"/>
      <c r="N43" s="341"/>
      <c r="O43" s="341"/>
      <c r="P43" s="341"/>
      <c r="Q43" s="341"/>
    </row>
    <row r="44" spans="2:17">
      <c r="B44" s="73" t="s">
        <v>270</v>
      </c>
      <c r="C44" s="73"/>
      <c r="D44" s="73"/>
      <c r="E44" s="286" t="s">
        <v>10</v>
      </c>
      <c r="F44" s="286"/>
      <c r="G44" s="287" t="s">
        <v>244</v>
      </c>
      <c r="H44" s="287"/>
      <c r="I44" s="287"/>
      <c r="J44" s="287"/>
      <c r="N44" s="341"/>
      <c r="O44" s="341"/>
      <c r="P44" s="341"/>
      <c r="Q44" s="341"/>
    </row>
    <row r="45" spans="2:17" ht="9.75" customHeight="1">
      <c r="B45" s="39"/>
      <c r="C45" s="39"/>
      <c r="D45" s="39"/>
      <c r="E45" s="285" t="s">
        <v>12</v>
      </c>
      <c r="F45" s="285"/>
      <c r="G45" s="285"/>
      <c r="H45" s="285"/>
      <c r="I45" s="20"/>
      <c r="J45" s="20"/>
      <c r="N45" s="341"/>
      <c r="O45" s="341"/>
      <c r="P45" s="341"/>
      <c r="Q45" s="341"/>
    </row>
    <row r="46" spans="2:17">
      <c r="B46" s="39"/>
      <c r="C46" s="118"/>
      <c r="D46" s="20"/>
      <c r="E46" s="20"/>
      <c r="F46" s="20"/>
      <c r="G46" s="39"/>
      <c r="H46" s="39"/>
      <c r="I46" s="39"/>
      <c r="J46" s="39"/>
    </row>
    <row r="47" spans="2:17">
      <c r="C47" s="1"/>
      <c r="D47" s="1"/>
      <c r="E47" s="1"/>
      <c r="F47" s="1"/>
      <c r="G47" s="1"/>
      <c r="I47" s="1"/>
    </row>
    <row r="48" spans="2:17">
      <c r="C48" s="48"/>
      <c r="E48" s="65"/>
      <c r="G48" s="1"/>
      <c r="I48" s="1"/>
    </row>
  </sheetData>
  <mergeCells count="47">
    <mergeCell ref="E41:F41"/>
    <mergeCell ref="G41:H41"/>
    <mergeCell ref="B13:I13"/>
    <mergeCell ref="B14:B15"/>
    <mergeCell ref="C14:C15"/>
    <mergeCell ref="D14:D15"/>
    <mergeCell ref="E14:E15"/>
    <mergeCell ref="F14:F15"/>
    <mergeCell ref="G14:H14"/>
    <mergeCell ref="I14:I15"/>
    <mergeCell ref="D33:E33"/>
    <mergeCell ref="F33:G33"/>
    <mergeCell ref="H33:I33"/>
    <mergeCell ref="D34:E34"/>
    <mergeCell ref="F34:G34"/>
    <mergeCell ref="H34:I34"/>
    <mergeCell ref="D5:F5"/>
    <mergeCell ref="D12:E12"/>
    <mergeCell ref="B32:I32"/>
    <mergeCell ref="D35:E35"/>
    <mergeCell ref="F35:G35"/>
    <mergeCell ref="H35:I35"/>
    <mergeCell ref="D36:E36"/>
    <mergeCell ref="F36:G36"/>
    <mergeCell ref="H36:I36"/>
    <mergeCell ref="G40:H40"/>
    <mergeCell ref="I40:J40"/>
    <mergeCell ref="D37:E37"/>
    <mergeCell ref="F37:G37"/>
    <mergeCell ref="H37:I37"/>
    <mergeCell ref="E38:F38"/>
    <mergeCell ref="G38:H38"/>
    <mergeCell ref="B2:I3"/>
    <mergeCell ref="I44:J44"/>
    <mergeCell ref="E45:F45"/>
    <mergeCell ref="G45:H45"/>
    <mergeCell ref="I41:J41"/>
    <mergeCell ref="E42:F42"/>
    <mergeCell ref="G42:H42"/>
    <mergeCell ref="I42:J42"/>
    <mergeCell ref="E43:F43"/>
    <mergeCell ref="E44:F44"/>
    <mergeCell ref="G44:H44"/>
    <mergeCell ref="E39:F39"/>
    <mergeCell ref="G39:H39"/>
    <mergeCell ref="I39:J39"/>
    <mergeCell ref="E40:F40"/>
  </mergeCells>
  <printOptions horizontalCentered="1"/>
  <pageMargins left="0.19685039370078741" right="0.19685039370078741" top="0.15748031496062992" bottom="0.23622047244094491" header="0.31496062992125984" footer="0.23622047244094491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0.28515625" style="1" customWidth="1"/>
    <col min="3" max="3" width="11.85546875" style="3" customWidth="1"/>
    <col min="4" max="4" width="8.42578125" style="3" customWidth="1"/>
    <col min="5" max="5" width="11" style="3" customWidth="1"/>
    <col min="6" max="6" width="10.28515625" style="3" customWidth="1"/>
    <col min="7" max="7" width="10" style="1" customWidth="1"/>
    <col min="8" max="8" width="10.42578125" style="1" customWidth="1"/>
    <col min="9" max="9" width="10.85546875" style="1" customWidth="1"/>
    <col min="10" max="10" width="12.85546875" style="1" customWidth="1"/>
    <col min="11" max="13" width="9.140625" style="1"/>
    <col min="14" max="14" width="13.140625" style="339" customWidth="1"/>
    <col min="15" max="15" width="14.5703125" style="339" customWidth="1"/>
    <col min="16" max="16" width="13.28515625" style="339" customWidth="1"/>
    <col min="17" max="17" width="12.57031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3.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221</v>
      </c>
      <c r="E5" s="299"/>
      <c r="F5" s="299"/>
    </row>
    <row r="6" spans="1:18">
      <c r="B6" s="1" t="s">
        <v>1</v>
      </c>
      <c r="D6" s="28">
        <v>2007</v>
      </c>
      <c r="E6" s="28"/>
      <c r="F6" s="28"/>
    </row>
    <row r="7" spans="1:18" ht="18" hidden="1" customHeight="1" outlineLevel="1">
      <c r="B7" s="1" t="s">
        <v>2</v>
      </c>
      <c r="D7" s="28">
        <v>3</v>
      </c>
      <c r="E7" s="28"/>
      <c r="F7" s="28"/>
    </row>
    <row r="8" spans="1:18" hidden="1" outlineLevel="1">
      <c r="B8" s="1" t="s">
        <v>3</v>
      </c>
      <c r="D8" s="28">
        <v>24</v>
      </c>
      <c r="E8" s="28"/>
      <c r="F8" s="28"/>
    </row>
    <row r="9" spans="1:18" ht="30.75" hidden="1" customHeight="1" outlineLevel="1">
      <c r="B9" s="2" t="s">
        <v>4</v>
      </c>
      <c r="C9" s="7"/>
      <c r="D9" s="28" t="s">
        <v>222</v>
      </c>
      <c r="E9" s="28"/>
      <c r="F9" s="28"/>
    </row>
    <row r="10" spans="1:18" collapsed="1">
      <c r="B10" s="1" t="s">
        <v>5</v>
      </c>
      <c r="D10" s="28" t="s">
        <v>223</v>
      </c>
      <c r="E10" s="28"/>
      <c r="F10" s="28"/>
      <c r="J10" s="10"/>
    </row>
    <row r="11" spans="1:18" hidden="1" outlineLevel="1">
      <c r="B11" s="1" t="s">
        <v>6</v>
      </c>
      <c r="D11" s="28" t="s">
        <v>16</v>
      </c>
      <c r="E11" s="28"/>
      <c r="F11" s="28"/>
    </row>
    <row r="12" spans="1:18" ht="30.75" hidden="1" customHeight="1" outlineLevel="1">
      <c r="B12" s="2" t="s">
        <v>7</v>
      </c>
      <c r="C12" s="7"/>
      <c r="D12" s="323" t="s">
        <v>210</v>
      </c>
      <c r="E12" s="323"/>
      <c r="F12" s="28"/>
      <c r="J12" s="10"/>
    </row>
    <row r="13" spans="1:18" ht="33.7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9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321</v>
      </c>
      <c r="M14" s="10"/>
      <c r="N14" s="340"/>
      <c r="O14" s="340"/>
      <c r="P14" s="340"/>
      <c r="Q14" s="340"/>
    </row>
    <row r="15" spans="1:18" ht="39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76993.72</v>
      </c>
      <c r="O15" s="341">
        <v>81984.539999999994</v>
      </c>
      <c r="P15" s="341">
        <f>70388.7*1.06</f>
        <v>74612.021999999997</v>
      </c>
      <c r="Q15" s="341">
        <f>78709.95*1.06</f>
        <v>83432.547000000006</v>
      </c>
      <c r="R15" s="339">
        <f>(N15+O15)/(P15+Q15)*100</f>
        <v>100.5907770231573</v>
      </c>
    </row>
    <row r="16" spans="1:18" ht="49.5" customHeight="1">
      <c r="B16" s="101" t="s">
        <v>280</v>
      </c>
      <c r="C16" s="76" t="s">
        <v>299</v>
      </c>
      <c r="D16" s="77" t="s">
        <v>300</v>
      </c>
      <c r="E16" s="78">
        <v>0</v>
      </c>
      <c r="F16" s="79">
        <v>0</v>
      </c>
      <c r="G16" s="80">
        <f>($N$15/$N$16*E16)+($O$15/$O$16*F16)</f>
        <v>0</v>
      </c>
      <c r="H16" s="81">
        <f>($P$15/$P$16*E16)+($Q$15/$Q$16*F16)</f>
        <v>0</v>
      </c>
      <c r="I16" s="82">
        <f>H16-G16</f>
        <v>0</v>
      </c>
      <c r="J16" s="43"/>
      <c r="K16" s="12"/>
      <c r="L16" s="12"/>
      <c r="M16" s="13"/>
      <c r="N16" s="342">
        <v>8.8800000000000008</v>
      </c>
      <c r="O16" s="341">
        <v>9.9</v>
      </c>
      <c r="P16" s="342">
        <v>8.8800000000000008</v>
      </c>
      <c r="Q16" s="341">
        <v>9.9</v>
      </c>
    </row>
    <row r="17" spans="2:17" ht="51">
      <c r="B17" s="102" t="s">
        <v>301</v>
      </c>
      <c r="C17" s="76" t="s">
        <v>299</v>
      </c>
      <c r="D17" s="77" t="s">
        <v>300</v>
      </c>
      <c r="E17" s="272">
        <v>1.1299999999999999</v>
      </c>
      <c r="F17" s="230">
        <v>1.17</v>
      </c>
      <c r="G17" s="80">
        <f t="shared" ref="G17:G28" si="0">($N$15/$N$16*E17)+($O$15/$O$16*F17)</f>
        <v>19486.706279279275</v>
      </c>
      <c r="H17" s="81">
        <f t="shared" ref="H17:H21" si="1">($P$15/$P$16*E17)+($Q$15/$Q$16*F17)</f>
        <v>19354.757944594592</v>
      </c>
      <c r="I17" s="82">
        <f t="shared" ref="I17:I28" si="2">H17-G17</f>
        <v>-131.94833468468278</v>
      </c>
      <c r="J17" s="34"/>
      <c r="K17" s="6"/>
      <c r="L17" s="6"/>
      <c r="M17" s="6"/>
      <c r="N17" s="343"/>
      <c r="O17" s="344"/>
      <c r="P17" s="344"/>
      <c r="Q17" s="344"/>
    </row>
    <row r="18" spans="2:17" ht="51.75" customHeight="1">
      <c r="B18" s="84" t="s">
        <v>271</v>
      </c>
      <c r="C18" s="76" t="s">
        <v>299</v>
      </c>
      <c r="D18" s="77" t="s">
        <v>300</v>
      </c>
      <c r="E18" s="272">
        <v>0.28000000000000003</v>
      </c>
      <c r="F18" s="230">
        <v>0.27</v>
      </c>
      <c r="G18" s="80">
        <f t="shared" si="0"/>
        <v>4663.67190990991</v>
      </c>
      <c r="H18" s="81">
        <f t="shared" si="1"/>
        <v>4628.0644243243241</v>
      </c>
      <c r="I18" s="82">
        <f t="shared" si="2"/>
        <v>-35.607485585585891</v>
      </c>
      <c r="J18" s="5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272">
        <v>0.23</v>
      </c>
      <c r="F19" s="230">
        <v>0.23</v>
      </c>
      <c r="G19" s="80">
        <f t="shared" si="0"/>
        <v>3898.8980450450449</v>
      </c>
      <c r="H19" s="81">
        <f t="shared" si="1"/>
        <v>3870.8504878378376</v>
      </c>
      <c r="I19" s="82">
        <f t="shared" si="2"/>
        <v>-28.047557207207319</v>
      </c>
      <c r="J19" s="5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72">
        <v>1.1399999999999999</v>
      </c>
      <c r="F20" s="230">
        <v>1.33</v>
      </c>
      <c r="G20" s="80">
        <f t="shared" si="0"/>
        <v>20898.413585585586</v>
      </c>
      <c r="H20" s="81">
        <f t="shared" si="1"/>
        <v>20787.185291891892</v>
      </c>
      <c r="I20" s="82">
        <f t="shared" si="2"/>
        <v>-111.22829369369356</v>
      </c>
      <c r="J20" s="5"/>
      <c r="N20" s="341"/>
      <c r="O20" s="341"/>
      <c r="P20" s="341"/>
      <c r="Q20" s="341"/>
    </row>
    <row r="21" spans="2:17" ht="144.75" customHeight="1">
      <c r="B21" s="102" t="s">
        <v>282</v>
      </c>
      <c r="C21" s="76" t="s">
        <v>303</v>
      </c>
      <c r="D21" s="77" t="s">
        <v>300</v>
      </c>
      <c r="E21" s="272">
        <v>3.67</v>
      </c>
      <c r="F21" s="230">
        <v>3.33</v>
      </c>
      <c r="G21" s="80">
        <f t="shared" si="0"/>
        <v>59397.220747747742</v>
      </c>
      <c r="H21" s="81">
        <f t="shared" si="1"/>
        <v>58899.949758108101</v>
      </c>
      <c r="I21" s="82">
        <f t="shared" si="2"/>
        <v>-497.2709896396409</v>
      </c>
      <c r="J21" s="34"/>
      <c r="K21" s="6"/>
      <c r="L21" s="6"/>
      <c r="M21" s="11"/>
      <c r="N21" s="344"/>
      <c r="O21" s="344"/>
      <c r="P21" s="344"/>
      <c r="Q21" s="344"/>
    </row>
    <row r="22" spans="2:17" ht="30.75" customHeight="1">
      <c r="B22" s="84" t="s">
        <v>304</v>
      </c>
      <c r="C22" s="76" t="s">
        <v>302</v>
      </c>
      <c r="D22" s="77" t="s">
        <v>300</v>
      </c>
      <c r="E22" s="272">
        <v>1.94</v>
      </c>
      <c r="F22" s="230">
        <v>2</v>
      </c>
      <c r="G22" s="80">
        <v>32042.400000000001</v>
      </c>
      <c r="H22" s="53">
        <v>32530.89</v>
      </c>
      <c r="I22" s="82">
        <f t="shared" si="2"/>
        <v>488.48999999999796</v>
      </c>
      <c r="J22" s="5"/>
      <c r="N22" s="341"/>
      <c r="O22" s="341"/>
      <c r="P22" s="341"/>
      <c r="Q22" s="341"/>
    </row>
    <row r="23" spans="2:17" ht="127.5">
      <c r="B23" s="102" t="s">
        <v>305</v>
      </c>
      <c r="C23" s="76" t="s">
        <v>299</v>
      </c>
      <c r="D23" s="77" t="s">
        <v>300</v>
      </c>
      <c r="E23" s="272">
        <v>0.22</v>
      </c>
      <c r="F23" s="230">
        <v>0.21</v>
      </c>
      <c r="G23" s="80">
        <f>($N$15/$N$16*E23)+($O$15/$O$16*F23)</f>
        <v>3646.5680720720716</v>
      </c>
      <c r="H23" s="81">
        <f t="shared" ref="H23" si="3">($P$15/$P$16*E23)+($Q$15/$Q$16*F23)</f>
        <v>3618.2773405405405</v>
      </c>
      <c r="I23" s="82">
        <f t="shared" si="2"/>
        <v>-28.290731531531037</v>
      </c>
      <c r="J23" s="5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72">
        <v>0</v>
      </c>
      <c r="F24" s="230">
        <v>0</v>
      </c>
      <c r="G24" s="80">
        <v>2986</v>
      </c>
      <c r="H24" s="53">
        <v>3352</v>
      </c>
      <c r="I24" s="82">
        <f t="shared" si="2"/>
        <v>366</v>
      </c>
      <c r="J24" s="5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72">
        <v>0.71</v>
      </c>
      <c r="F25" s="230">
        <v>1.44</v>
      </c>
      <c r="G25" s="80">
        <f t="shared" si="0"/>
        <v>18081.053414414411</v>
      </c>
      <c r="H25" s="81">
        <f t="shared" ref="H25:H28" si="4">($P$15/$P$16*E25)+($Q$15/$Q$16*F25)</f>
        <v>18101.244058108106</v>
      </c>
      <c r="I25" s="82">
        <f t="shared" si="2"/>
        <v>20.190643693695165</v>
      </c>
      <c r="J25" s="5"/>
      <c r="K25" s="271"/>
      <c r="L25" s="271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272">
        <v>0.25</v>
      </c>
      <c r="F26" s="230">
        <v>0.83</v>
      </c>
      <c r="G26" s="80">
        <f t="shared" si="0"/>
        <v>9041.0673243243236</v>
      </c>
      <c r="H26" s="81">
        <f t="shared" si="4"/>
        <v>9095.413582432433</v>
      </c>
      <c r="I26" s="82">
        <f t="shared" si="2"/>
        <v>54.346258108109396</v>
      </c>
      <c r="J26" s="5"/>
      <c r="K26" s="85"/>
      <c r="L26" s="85"/>
      <c r="M26" s="10"/>
      <c r="N26" s="345">
        <f>K26-L26</f>
        <v>0</v>
      </c>
      <c r="O26" s="345"/>
      <c r="P26" s="341"/>
      <c r="Q26" s="341"/>
    </row>
    <row r="27" spans="2:17" ht="24.75">
      <c r="B27" s="84" t="s">
        <v>284</v>
      </c>
      <c r="C27" s="83" t="s">
        <v>302</v>
      </c>
      <c r="D27" s="77" t="s">
        <v>300</v>
      </c>
      <c r="E27" s="272">
        <v>0.89</v>
      </c>
      <c r="F27" s="230">
        <v>0.65</v>
      </c>
      <c r="G27" s="80">
        <f t="shared" si="0"/>
        <v>13099.536261261261</v>
      </c>
      <c r="H27" s="81">
        <f t="shared" si="4"/>
        <v>12955.901209459458</v>
      </c>
      <c r="I27" s="82">
        <f t="shared" si="2"/>
        <v>-143.63505180180255</v>
      </c>
      <c r="J27" s="5"/>
      <c r="K27" s="85"/>
      <c r="L27" s="85"/>
      <c r="M27" s="10"/>
      <c r="N27" s="341"/>
      <c r="O27" s="341"/>
      <c r="P27" s="341"/>
      <c r="Q27" s="341"/>
    </row>
    <row r="28" spans="2:17" ht="16.5" thickBot="1">
      <c r="B28" s="103" t="s">
        <v>273</v>
      </c>
      <c r="C28" s="104" t="s">
        <v>303</v>
      </c>
      <c r="D28" s="105" t="s">
        <v>300</v>
      </c>
      <c r="E28" s="64">
        <v>0.36</v>
      </c>
      <c r="F28" s="106">
        <v>0.44</v>
      </c>
      <c r="G28" s="107">
        <f t="shared" si="0"/>
        <v>6765.1243603603598</v>
      </c>
      <c r="H28" s="108">
        <f t="shared" si="4"/>
        <v>6732.9249027027017</v>
      </c>
      <c r="I28" s="109">
        <f t="shared" si="2"/>
        <v>-32.199457657658058</v>
      </c>
      <c r="J28" s="5"/>
      <c r="N28" s="341"/>
      <c r="O28" s="341"/>
      <c r="P28" s="341"/>
      <c r="Q28" s="341"/>
    </row>
    <row r="29" spans="2:17" ht="16.5" thickBot="1">
      <c r="B29" s="110" t="s">
        <v>278</v>
      </c>
      <c r="C29" s="111"/>
      <c r="D29" s="111"/>
      <c r="E29" s="112">
        <f>SUM(E16:E28)</f>
        <v>10.82</v>
      </c>
      <c r="F29" s="113">
        <f>SUM(F16:F28)</f>
        <v>11.9</v>
      </c>
      <c r="G29" s="114">
        <f>SUM(G16:G28)</f>
        <v>194006.66</v>
      </c>
      <c r="H29" s="115">
        <f>SUM(H16:H28)</f>
        <v>193927.45900000003</v>
      </c>
      <c r="I29" s="116">
        <f>H29-G29</f>
        <v>-79.200999999971827</v>
      </c>
      <c r="J29" s="5"/>
      <c r="N29" s="341"/>
      <c r="O29" s="341"/>
      <c r="P29" s="341"/>
      <c r="Q29" s="341"/>
    </row>
    <row r="30" spans="2:17">
      <c r="B30" s="10"/>
      <c r="C30" s="10"/>
      <c r="D30" s="10"/>
      <c r="E30" s="46"/>
      <c r="F30" s="46"/>
      <c r="G30" s="46"/>
      <c r="H30" s="46"/>
      <c r="I30" s="3"/>
      <c r="N30" s="341"/>
      <c r="O30" s="341"/>
      <c r="P30" s="341"/>
      <c r="Q30" s="341"/>
    </row>
    <row r="31" spans="2:17" ht="16.5" thickBot="1">
      <c r="B31" s="326" t="s">
        <v>308</v>
      </c>
      <c r="C31" s="326"/>
      <c r="D31" s="326"/>
      <c r="E31" s="326"/>
      <c r="F31" s="326"/>
      <c r="G31" s="326"/>
      <c r="H31" s="326"/>
      <c r="I31" s="326"/>
      <c r="J31" s="40"/>
      <c r="K31" s="40"/>
      <c r="N31" s="341"/>
      <c r="O31" s="341"/>
      <c r="P31" s="341"/>
      <c r="Q31" s="341"/>
    </row>
    <row r="32" spans="2:17" ht="48" customHeight="1">
      <c r="B32" s="56"/>
      <c r="C32" s="91"/>
      <c r="D32" s="290" t="s">
        <v>309</v>
      </c>
      <c r="E32" s="291"/>
      <c r="F32" s="292" t="s">
        <v>8</v>
      </c>
      <c r="G32" s="293"/>
      <c r="H32" s="292" t="s">
        <v>9</v>
      </c>
      <c r="I32" s="294"/>
      <c r="J32" s="123"/>
      <c r="K32" s="124"/>
      <c r="L32" s="44"/>
      <c r="M32" s="274"/>
      <c r="N32" s="345"/>
      <c r="O32" s="345"/>
      <c r="P32" s="345"/>
      <c r="Q32" s="345"/>
    </row>
    <row r="33" spans="2:17">
      <c r="B33" s="57" t="s">
        <v>18</v>
      </c>
      <c r="C33" s="94"/>
      <c r="D33" s="295">
        <f>F33+H33</f>
        <v>194006.66</v>
      </c>
      <c r="E33" s="296"/>
      <c r="F33" s="295">
        <f>76993.72+84970.54-2986+32042.4</f>
        <v>191020.66</v>
      </c>
      <c r="G33" s="296"/>
      <c r="H33" s="295">
        <f>G24</f>
        <v>2986</v>
      </c>
      <c r="I33" s="297"/>
      <c r="J33" s="125"/>
      <c r="K33" s="126"/>
      <c r="L33" s="5"/>
      <c r="M33" s="5"/>
      <c r="N33" s="341"/>
      <c r="O33" s="341"/>
      <c r="P33" s="341"/>
      <c r="Q33" s="341"/>
    </row>
    <row r="34" spans="2:17">
      <c r="B34" s="57" t="s">
        <v>19</v>
      </c>
      <c r="C34" s="94"/>
      <c r="D34" s="295">
        <f>F34+H34</f>
        <v>188671.11000000002</v>
      </c>
      <c r="E34" s="296"/>
      <c r="F34" s="295">
        <f>74965.21+82731.88-1871+30874.02</f>
        <v>186700.11000000002</v>
      </c>
      <c r="G34" s="296"/>
      <c r="H34" s="295">
        <v>1971</v>
      </c>
      <c r="I34" s="297"/>
      <c r="J34" s="125"/>
      <c r="K34" s="126"/>
      <c r="L34" s="42"/>
      <c r="M34" s="5"/>
      <c r="N34" s="341"/>
      <c r="O34" s="341"/>
      <c r="P34" s="341"/>
      <c r="Q34" s="341"/>
    </row>
    <row r="35" spans="2:17" ht="16.5" thickBot="1">
      <c r="B35" s="58" t="s">
        <v>277</v>
      </c>
      <c r="C35" s="96"/>
      <c r="D35" s="314">
        <f>F35+H35</f>
        <v>193927.45900000003</v>
      </c>
      <c r="E35" s="315"/>
      <c r="F35" s="314">
        <f>H16+H17+H18+H19+H20+H21+H22+H23+H25+H26+H27+H28</f>
        <v>190575.45900000003</v>
      </c>
      <c r="G35" s="315"/>
      <c r="H35" s="314">
        <f>H24</f>
        <v>3352</v>
      </c>
      <c r="I35" s="316"/>
      <c r="J35" s="125"/>
      <c r="K35" s="126"/>
      <c r="L35" s="5"/>
      <c r="M35" s="5"/>
      <c r="N35" s="341"/>
      <c r="O35" s="341"/>
      <c r="P35" s="341"/>
      <c r="Q35" s="341"/>
    </row>
    <row r="36" spans="2:17" ht="27" thickBot="1">
      <c r="B36" s="60" t="s">
        <v>245</v>
      </c>
      <c r="C36" s="98"/>
      <c r="D36" s="317">
        <f>F36+H36</f>
        <v>-5256.3490000000165</v>
      </c>
      <c r="E36" s="318"/>
      <c r="F36" s="319">
        <f>F34-F35</f>
        <v>-3875.3490000000165</v>
      </c>
      <c r="G36" s="320"/>
      <c r="H36" s="319">
        <f>H34-H35</f>
        <v>-1381</v>
      </c>
      <c r="I36" s="321"/>
      <c r="J36" s="125"/>
      <c r="K36" s="126"/>
      <c r="L36" s="5"/>
      <c r="M36" s="5"/>
      <c r="N36" s="341"/>
      <c r="O36" s="341"/>
      <c r="P36" s="341"/>
      <c r="Q36" s="341"/>
    </row>
    <row r="37" spans="2:17" ht="29.25" customHeight="1">
      <c r="B37" s="270" t="s">
        <v>267</v>
      </c>
      <c r="C37" s="270"/>
      <c r="D37" s="270"/>
      <c r="E37" s="327" t="s">
        <v>10</v>
      </c>
      <c r="F37" s="327"/>
      <c r="G37" s="287" t="s">
        <v>11</v>
      </c>
      <c r="H37" s="287"/>
      <c r="I37" s="127"/>
      <c r="J37" s="127"/>
      <c r="K37" s="6"/>
      <c r="L37" s="6"/>
      <c r="M37" s="6"/>
      <c r="N37" s="344"/>
      <c r="O37" s="344"/>
      <c r="P37" s="344"/>
      <c r="Q37" s="344"/>
    </row>
    <row r="38" spans="2:17" ht="9.75" customHeight="1">
      <c r="B38" s="270"/>
      <c r="C38" s="270"/>
      <c r="D38" s="270"/>
      <c r="E38" s="285" t="s">
        <v>12</v>
      </c>
      <c r="F38" s="285"/>
      <c r="G38" s="288"/>
      <c r="H38" s="288"/>
      <c r="I38" s="288"/>
      <c r="J38" s="288"/>
      <c r="K38" s="6"/>
      <c r="L38" s="6"/>
      <c r="M38" s="6"/>
      <c r="N38" s="344"/>
      <c r="O38" s="344"/>
      <c r="P38" s="344"/>
      <c r="Q38" s="344"/>
    </row>
    <row r="39" spans="2:17">
      <c r="B39" s="270" t="s">
        <v>268</v>
      </c>
      <c r="C39" s="270"/>
      <c r="D39" s="270"/>
      <c r="E39" s="286" t="s">
        <v>10</v>
      </c>
      <c r="F39" s="286"/>
      <c r="G39" s="287" t="s">
        <v>312</v>
      </c>
      <c r="H39" s="287"/>
      <c r="I39" s="287"/>
      <c r="J39" s="287"/>
      <c r="K39" s="6"/>
      <c r="L39" s="6"/>
      <c r="M39" s="6"/>
      <c r="N39" s="344"/>
      <c r="O39" s="344"/>
      <c r="P39" s="344"/>
      <c r="Q39" s="344"/>
    </row>
    <row r="40" spans="2:17" ht="10.5" customHeight="1">
      <c r="B40" s="270"/>
      <c r="C40" s="270"/>
      <c r="D40" s="270"/>
      <c r="E40" s="285" t="s">
        <v>12</v>
      </c>
      <c r="F40" s="285"/>
      <c r="G40" s="287"/>
      <c r="H40" s="287"/>
      <c r="I40" s="287"/>
      <c r="J40" s="287"/>
      <c r="N40" s="341"/>
      <c r="O40" s="341"/>
      <c r="P40" s="341"/>
      <c r="Q40" s="341"/>
    </row>
    <row r="41" spans="2:17">
      <c r="B41" s="270" t="s">
        <v>269</v>
      </c>
      <c r="C41" s="270"/>
      <c r="D41" s="270"/>
      <c r="E41" s="286" t="s">
        <v>10</v>
      </c>
      <c r="F41" s="286"/>
      <c r="G41" s="287" t="s">
        <v>313</v>
      </c>
      <c r="H41" s="287"/>
      <c r="I41" s="287"/>
      <c r="J41" s="287"/>
      <c r="N41" s="341"/>
      <c r="O41" s="341"/>
      <c r="P41" s="341"/>
      <c r="Q41" s="341"/>
    </row>
    <row r="42" spans="2:17" ht="9.75" customHeight="1">
      <c r="B42" s="61"/>
      <c r="C42" s="61"/>
      <c r="D42" s="61"/>
      <c r="E42" s="285" t="s">
        <v>12</v>
      </c>
      <c r="F42" s="285"/>
      <c r="G42" s="100"/>
      <c r="H42" s="117"/>
      <c r="I42" s="100"/>
      <c r="J42" s="117"/>
      <c r="N42" s="341"/>
      <c r="O42" s="341"/>
      <c r="P42" s="341"/>
      <c r="Q42" s="341"/>
    </row>
    <row r="43" spans="2:17">
      <c r="B43" s="270" t="s">
        <v>270</v>
      </c>
      <c r="C43" s="270"/>
      <c r="D43" s="270"/>
      <c r="E43" s="286" t="s">
        <v>10</v>
      </c>
      <c r="F43" s="286"/>
      <c r="G43" s="287" t="s">
        <v>244</v>
      </c>
      <c r="H43" s="287"/>
      <c r="I43" s="287"/>
      <c r="J43" s="287"/>
      <c r="N43" s="341"/>
      <c r="O43" s="341"/>
      <c r="P43" s="341"/>
      <c r="Q43" s="341"/>
    </row>
    <row r="44" spans="2:17" ht="9.75" customHeight="1">
      <c r="B44" s="39"/>
      <c r="C44" s="39"/>
      <c r="D44" s="39"/>
      <c r="E44" s="285" t="s">
        <v>12</v>
      </c>
      <c r="F44" s="285"/>
      <c r="G44" s="285"/>
      <c r="H44" s="285"/>
      <c r="I44" s="20"/>
      <c r="J44" s="20"/>
      <c r="N44" s="341"/>
      <c r="O44" s="341"/>
      <c r="P44" s="341"/>
      <c r="Q44" s="341"/>
    </row>
    <row r="45" spans="2:17">
      <c r="B45" s="39"/>
      <c r="C45" s="118"/>
      <c r="D45" s="20"/>
      <c r="E45" s="20"/>
      <c r="F45" s="20"/>
      <c r="G45" s="39"/>
      <c r="H45" s="39"/>
      <c r="I45" s="39"/>
      <c r="J45" s="39"/>
    </row>
  </sheetData>
  <mergeCells count="47">
    <mergeCell ref="E43:F43"/>
    <mergeCell ref="G43:H43"/>
    <mergeCell ref="I38:J38"/>
    <mergeCell ref="E39:F39"/>
    <mergeCell ref="G39:H39"/>
    <mergeCell ref="I39:J39"/>
    <mergeCell ref="E40:F40"/>
    <mergeCell ref="G40:H40"/>
    <mergeCell ref="I40:J40"/>
    <mergeCell ref="E38:F38"/>
    <mergeCell ref="G38:H38"/>
    <mergeCell ref="E41:F41"/>
    <mergeCell ref="E42:F42"/>
    <mergeCell ref="G41:H41"/>
    <mergeCell ref="I41:J41"/>
    <mergeCell ref="I43:J43"/>
    <mergeCell ref="F34:G34"/>
    <mergeCell ref="H34:I34"/>
    <mergeCell ref="H35:I35"/>
    <mergeCell ref="E37:F37"/>
    <mergeCell ref="G37:H37"/>
    <mergeCell ref="D35:E35"/>
    <mergeCell ref="F35:G35"/>
    <mergeCell ref="D36:E36"/>
    <mergeCell ref="F36:G36"/>
    <mergeCell ref="H36:I36"/>
    <mergeCell ref="B2:I3"/>
    <mergeCell ref="D32:E32"/>
    <mergeCell ref="F32:G32"/>
    <mergeCell ref="H32:I32"/>
    <mergeCell ref="B31:I31"/>
    <mergeCell ref="E44:F44"/>
    <mergeCell ref="G44:H44"/>
    <mergeCell ref="D5:F5"/>
    <mergeCell ref="D12:E12"/>
    <mergeCell ref="B13:I13"/>
    <mergeCell ref="B14:B15"/>
    <mergeCell ref="C14:C15"/>
    <mergeCell ref="D14:D15"/>
    <mergeCell ref="E14:E15"/>
    <mergeCell ref="F14:F15"/>
    <mergeCell ref="G14:H14"/>
    <mergeCell ref="I14:I15"/>
    <mergeCell ref="D33:E33"/>
    <mergeCell ref="F33:G33"/>
    <mergeCell ref="H33:I33"/>
    <mergeCell ref="D34:E34"/>
  </mergeCells>
  <printOptions horizontalCentered="1"/>
  <pageMargins left="0.23622047244094491" right="0.27559055118110237" top="0.31496062992125984" bottom="0.23622047244094491" header="0.31496062992125984" footer="0.31496062992125984"/>
  <pageSetup paperSize="9" scale="4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4.7109375" style="1" customWidth="1"/>
    <col min="3" max="3" width="12.7109375" style="3" customWidth="1"/>
    <col min="4" max="4" width="8.85546875" style="3" customWidth="1"/>
    <col min="5" max="6" width="10.28515625" style="3" customWidth="1"/>
    <col min="7" max="7" width="10" style="1" customWidth="1"/>
    <col min="8" max="8" width="10.28515625" style="1" customWidth="1"/>
    <col min="9" max="9" width="10.42578125" style="1" customWidth="1"/>
    <col min="10" max="10" width="12.85546875" style="1" customWidth="1"/>
    <col min="11" max="13" width="9.140625" style="1"/>
    <col min="14" max="14" width="13.140625" style="339" customWidth="1"/>
    <col min="15" max="16" width="13.42578125" style="339" customWidth="1"/>
    <col min="17" max="17" width="13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224</v>
      </c>
      <c r="E5" s="299"/>
      <c r="F5" s="299"/>
    </row>
    <row r="6" spans="1:18">
      <c r="B6" s="1" t="s">
        <v>1</v>
      </c>
      <c r="D6" s="29">
        <v>2007</v>
      </c>
      <c r="E6" s="29"/>
      <c r="F6" s="29"/>
    </row>
    <row r="7" spans="1:18" hidden="1" outlineLevel="1">
      <c r="B7" s="1" t="s">
        <v>2</v>
      </c>
      <c r="D7" s="29">
        <v>3</v>
      </c>
      <c r="E7" s="29"/>
      <c r="F7" s="29"/>
    </row>
    <row r="8" spans="1:18" hidden="1" outlineLevel="1">
      <c r="B8" s="1" t="s">
        <v>3</v>
      </c>
      <c r="D8" s="29">
        <v>24</v>
      </c>
      <c r="E8" s="29"/>
      <c r="F8" s="29"/>
    </row>
    <row r="9" spans="1:18" ht="30.75" hidden="1" customHeight="1" outlineLevel="1">
      <c r="B9" s="2" t="s">
        <v>4</v>
      </c>
      <c r="C9" s="7"/>
      <c r="D9" s="29" t="s">
        <v>225</v>
      </c>
      <c r="E9" s="29"/>
      <c r="F9" s="29"/>
    </row>
    <row r="10" spans="1:18" collapsed="1">
      <c r="B10" s="1" t="s">
        <v>5</v>
      </c>
      <c r="D10" s="29" t="s">
        <v>226</v>
      </c>
      <c r="E10" s="29"/>
      <c r="F10" s="29"/>
      <c r="J10" s="10"/>
    </row>
    <row r="11" spans="1:18" hidden="1" outlineLevel="1">
      <c r="B11" s="1" t="s">
        <v>6</v>
      </c>
      <c r="D11" s="29" t="s">
        <v>16</v>
      </c>
      <c r="E11" s="29"/>
      <c r="F11" s="29"/>
    </row>
    <row r="12" spans="1:18" ht="30.75" hidden="1" customHeight="1" outlineLevel="1">
      <c r="B12" s="2" t="s">
        <v>7</v>
      </c>
      <c r="C12" s="7"/>
      <c r="D12" s="323" t="s">
        <v>210</v>
      </c>
      <c r="E12" s="323"/>
      <c r="F12" s="29"/>
      <c r="J12" s="10"/>
    </row>
    <row r="13" spans="1:18" ht="33.7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9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321</v>
      </c>
      <c r="M14" s="10"/>
      <c r="N14" s="340"/>
      <c r="O14" s="340"/>
      <c r="P14" s="340"/>
      <c r="Q14" s="340"/>
    </row>
    <row r="15" spans="1:18" ht="39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64267</v>
      </c>
      <c r="O15" s="341">
        <v>68365.990000000005</v>
      </c>
      <c r="P15" s="341">
        <f>60802.92*1.02</f>
        <v>62018.9784</v>
      </c>
      <c r="Q15" s="341">
        <f>67990.96*1.02</f>
        <v>69350.779200000004</v>
      </c>
      <c r="R15" s="339">
        <f>(N15+O15)/(P15+Q15)*100</f>
        <v>100.96158539307527</v>
      </c>
    </row>
    <row r="16" spans="1:18" ht="49.5" customHeight="1">
      <c r="B16" s="101" t="s">
        <v>280</v>
      </c>
      <c r="C16" s="76" t="s">
        <v>299</v>
      </c>
      <c r="D16" s="77" t="s">
        <v>300</v>
      </c>
      <c r="E16" s="78">
        <v>0</v>
      </c>
      <c r="F16" s="79">
        <v>1.05</v>
      </c>
      <c r="G16" s="80">
        <f>($N$15/$N$16*E16)+($O$15/$O$16*F16)</f>
        <v>7752.0830993520531</v>
      </c>
      <c r="H16" s="81">
        <f>($P$15/$P$16*E16)+($Q$15/$Q$16*F16)</f>
        <v>7863.7492613390941</v>
      </c>
      <c r="I16" s="82">
        <f>H16-G16</f>
        <v>111.66616198704105</v>
      </c>
      <c r="J16" s="43"/>
      <c r="K16" s="12"/>
      <c r="L16" s="12"/>
      <c r="M16" s="13"/>
      <c r="N16" s="342">
        <v>8.3000000000000007</v>
      </c>
      <c r="O16" s="341">
        <v>9.26</v>
      </c>
      <c r="P16" s="342">
        <v>8.3000000000000007</v>
      </c>
      <c r="Q16" s="341">
        <v>9.26</v>
      </c>
    </row>
    <row r="17" spans="2:17" ht="51">
      <c r="B17" s="102" t="s">
        <v>301</v>
      </c>
      <c r="C17" s="76" t="s">
        <v>299</v>
      </c>
      <c r="D17" s="77" t="s">
        <v>300</v>
      </c>
      <c r="E17" s="272">
        <v>1.1299999999999999</v>
      </c>
      <c r="F17" s="230">
        <v>1.17</v>
      </c>
      <c r="G17" s="80">
        <f t="shared" ref="G17:G27" si="0">($N$15/$N$16*E17)+($O$15/$O$16*F17)</f>
        <v>17387.639068021545</v>
      </c>
      <c r="H17" s="81">
        <f t="shared" ref="H17:H21" si="1">($P$15/$P$16*E17)+($Q$15/$Q$16*F17)</f>
        <v>17206.011124321736</v>
      </c>
      <c r="I17" s="82">
        <f t="shared" ref="I17:I27" si="2">H17-G17</f>
        <v>-181.62794369980838</v>
      </c>
      <c r="J17" s="34"/>
      <c r="K17" s="6"/>
      <c r="L17" s="6"/>
      <c r="M17" s="6"/>
      <c r="N17" s="343"/>
      <c r="O17" s="344"/>
      <c r="P17" s="344"/>
      <c r="Q17" s="344"/>
    </row>
    <row r="18" spans="2:17" ht="51.75" customHeight="1">
      <c r="B18" s="84" t="s">
        <v>271</v>
      </c>
      <c r="C18" s="76" t="s">
        <v>299</v>
      </c>
      <c r="D18" s="77" t="s">
        <v>300</v>
      </c>
      <c r="E18" s="272">
        <v>0.28000000000000003</v>
      </c>
      <c r="F18" s="230">
        <v>0.27</v>
      </c>
      <c r="G18" s="80">
        <f t="shared" si="0"/>
        <v>4161.4361704702187</v>
      </c>
      <c r="H18" s="81">
        <f t="shared" si="1"/>
        <v>4114.3134531567302</v>
      </c>
      <c r="I18" s="82">
        <f t="shared" si="2"/>
        <v>-47.122717313488465</v>
      </c>
      <c r="J18" s="5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272">
        <v>0.23</v>
      </c>
      <c r="F19" s="230">
        <v>0.23</v>
      </c>
      <c r="G19" s="80">
        <f t="shared" si="0"/>
        <v>3478.9681166566916</v>
      </c>
      <c r="H19" s="81">
        <f t="shared" si="1"/>
        <v>3441.1337491103077</v>
      </c>
      <c r="I19" s="82">
        <f t="shared" si="2"/>
        <v>-37.834367546383874</v>
      </c>
      <c r="J19" s="5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72">
        <v>1.1399999999999999</v>
      </c>
      <c r="F20" s="230">
        <v>1.33</v>
      </c>
      <c r="G20" s="80">
        <f t="shared" si="0"/>
        <v>18646.338994119025</v>
      </c>
      <c r="H20" s="81">
        <f t="shared" si="1"/>
        <v>18479.018386772492</v>
      </c>
      <c r="I20" s="82">
        <f t="shared" si="2"/>
        <v>-167.32060734653351</v>
      </c>
      <c r="J20" s="5"/>
      <c r="N20" s="341"/>
      <c r="O20" s="341"/>
      <c r="P20" s="341"/>
      <c r="Q20" s="341"/>
    </row>
    <row r="21" spans="2:17" ht="144.75" customHeight="1">
      <c r="B21" s="102" t="s">
        <v>282</v>
      </c>
      <c r="C21" s="76" t="s">
        <v>303</v>
      </c>
      <c r="D21" s="77" t="s">
        <v>300</v>
      </c>
      <c r="E21" s="272">
        <v>3.67</v>
      </c>
      <c r="F21" s="230">
        <v>2.9</v>
      </c>
      <c r="G21" s="80">
        <f t="shared" si="0"/>
        <v>49827.369443649324</v>
      </c>
      <c r="H21" s="81">
        <f t="shared" si="1"/>
        <v>49141.7760166187</v>
      </c>
      <c r="I21" s="82">
        <f t="shared" si="2"/>
        <v>-685.5934270306243</v>
      </c>
      <c r="J21" s="34"/>
      <c r="K21" s="6"/>
      <c r="L21" s="6"/>
      <c r="M21" s="11"/>
      <c r="N21" s="344"/>
      <c r="O21" s="344"/>
      <c r="P21" s="344"/>
      <c r="Q21" s="344"/>
    </row>
    <row r="22" spans="2:17" ht="30.75" customHeight="1">
      <c r="B22" s="84" t="s">
        <v>304</v>
      </c>
      <c r="C22" s="76" t="s">
        <v>302</v>
      </c>
      <c r="D22" s="77" t="s">
        <v>300</v>
      </c>
      <c r="E22" s="272">
        <v>1.94</v>
      </c>
      <c r="F22" s="230">
        <v>2</v>
      </c>
      <c r="G22" s="80">
        <v>27678.84</v>
      </c>
      <c r="H22" s="53">
        <v>28100.720000000001</v>
      </c>
      <c r="I22" s="82">
        <f t="shared" si="2"/>
        <v>421.88000000000102</v>
      </c>
      <c r="J22" s="5"/>
      <c r="N22" s="341"/>
      <c r="O22" s="341"/>
      <c r="P22" s="341"/>
      <c r="Q22" s="341"/>
    </row>
    <row r="23" spans="2:17" ht="102">
      <c r="B23" s="102" t="s">
        <v>305</v>
      </c>
      <c r="C23" s="76" t="s">
        <v>299</v>
      </c>
      <c r="D23" s="77" t="s">
        <v>300</v>
      </c>
      <c r="E23" s="272">
        <v>0.22</v>
      </c>
      <c r="F23" s="230">
        <v>0.21</v>
      </c>
      <c r="G23" s="80">
        <f>($N$15/$N$16*E23)+($O$15/$O$16*F23)</f>
        <v>3253.8792704728198</v>
      </c>
      <c r="H23" s="81">
        <f t="shared" ref="H23:H27" si="3">($P$15/$P$16*E23)+($Q$15/$Q$16*F23)</f>
        <v>3216.6263881714331</v>
      </c>
      <c r="I23" s="82">
        <f t="shared" si="2"/>
        <v>-37.252882301386762</v>
      </c>
      <c r="J23" s="5"/>
      <c r="N23" s="341"/>
      <c r="O23" s="341"/>
      <c r="P23" s="341"/>
      <c r="Q23" s="341"/>
    </row>
    <row r="24" spans="2:17" ht="56.25" customHeight="1">
      <c r="B24" s="84" t="s">
        <v>306</v>
      </c>
      <c r="C24" s="76" t="s">
        <v>299</v>
      </c>
      <c r="D24" s="77" t="s">
        <v>300</v>
      </c>
      <c r="E24" s="272">
        <v>0</v>
      </c>
      <c r="F24" s="230">
        <v>0</v>
      </c>
      <c r="G24" s="80">
        <v>2560</v>
      </c>
      <c r="H24" s="53">
        <v>1901</v>
      </c>
      <c r="I24" s="82">
        <f t="shared" si="2"/>
        <v>-659</v>
      </c>
      <c r="J24" s="5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72">
        <v>0.71</v>
      </c>
      <c r="F25" s="230">
        <v>1.21</v>
      </c>
      <c r="G25" s="80">
        <f t="shared" si="0"/>
        <v>14430.89145918447</v>
      </c>
      <c r="H25" s="81">
        <f t="shared" si="3"/>
        <v>14367.272774392255</v>
      </c>
      <c r="I25" s="82">
        <f t="shared" si="2"/>
        <v>-63.618684792214481</v>
      </c>
      <c r="J25" s="5"/>
      <c r="K25" s="271"/>
      <c r="L25" s="271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272">
        <v>0.25</v>
      </c>
      <c r="F26" s="230">
        <v>0.83</v>
      </c>
      <c r="G26" s="80">
        <f t="shared" si="0"/>
        <v>8063.5901286788621</v>
      </c>
      <c r="H26" s="81">
        <f t="shared" si="3"/>
        <v>8084.148077035572</v>
      </c>
      <c r="I26" s="82">
        <f t="shared" si="2"/>
        <v>20.557948356709858</v>
      </c>
      <c r="J26" s="5"/>
      <c r="K26" s="85"/>
      <c r="L26" s="85"/>
      <c r="M26" s="10"/>
      <c r="N26" s="345">
        <f>K26-L26</f>
        <v>0</v>
      </c>
      <c r="O26" s="345"/>
      <c r="P26" s="341"/>
      <c r="Q26" s="341"/>
    </row>
    <row r="27" spans="2:17" ht="16.5" thickBot="1">
      <c r="B27" s="103" t="s">
        <v>273</v>
      </c>
      <c r="C27" s="104" t="s">
        <v>303</v>
      </c>
      <c r="D27" s="105" t="s">
        <v>300</v>
      </c>
      <c r="E27" s="64">
        <v>0.67</v>
      </c>
      <c r="F27" s="106">
        <v>0.06</v>
      </c>
      <c r="G27" s="107">
        <f t="shared" si="0"/>
        <v>5630.7942493949886</v>
      </c>
      <c r="H27" s="108">
        <f t="shared" si="3"/>
        <v>5455.7083690816826</v>
      </c>
      <c r="I27" s="109">
        <f t="shared" si="2"/>
        <v>-175.08588031330601</v>
      </c>
      <c r="J27" s="5"/>
      <c r="N27" s="341"/>
      <c r="O27" s="341"/>
      <c r="P27" s="341"/>
      <c r="Q27" s="341"/>
    </row>
    <row r="28" spans="2:17" ht="16.5" thickBot="1">
      <c r="B28" s="110" t="s">
        <v>278</v>
      </c>
      <c r="C28" s="111"/>
      <c r="D28" s="111"/>
      <c r="E28" s="112">
        <f>SUM(E16:E27)</f>
        <v>10.24</v>
      </c>
      <c r="F28" s="113">
        <f>SUM(F16:F27)</f>
        <v>11.260000000000002</v>
      </c>
      <c r="G28" s="114">
        <f>SUM(G16:G27)</f>
        <v>162871.82999999999</v>
      </c>
      <c r="H28" s="115">
        <f>SUM(H16:H27)</f>
        <v>161371.47760000001</v>
      </c>
      <c r="I28" s="116">
        <f>H28-G28</f>
        <v>-1500.3523999999743</v>
      </c>
      <c r="J28" s="5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N29" s="341"/>
      <c r="O29" s="341"/>
      <c r="P29" s="341"/>
      <c r="Q29" s="341"/>
    </row>
    <row r="30" spans="2:17" ht="16.5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7" ht="48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74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162871.82999999999</v>
      </c>
      <c r="E32" s="296"/>
      <c r="F32" s="295">
        <f>64267+70925.99-2560+27678.84</f>
        <v>160311.82999999999</v>
      </c>
      <c r="G32" s="296"/>
      <c r="H32" s="295">
        <f>G24</f>
        <v>2560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161825.72</v>
      </c>
      <c r="E33" s="296"/>
      <c r="F33" s="295">
        <f>64034.72+70669.65-1891+27121.35</f>
        <v>159934.72</v>
      </c>
      <c r="G33" s="296"/>
      <c r="H33" s="295">
        <v>1891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161371.47760000001</v>
      </c>
      <c r="E34" s="315"/>
      <c r="F34" s="314">
        <f>H16+H17+H18+H19+H20+H21+H22+H23+H25+H26+H27</f>
        <v>159470.47760000001</v>
      </c>
      <c r="G34" s="315"/>
      <c r="H34" s="314">
        <f>H24</f>
        <v>1901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454.24239999998827</v>
      </c>
      <c r="E35" s="318"/>
      <c r="F35" s="319">
        <f>F33-F34</f>
        <v>464.24239999998827</v>
      </c>
      <c r="G35" s="320"/>
      <c r="H35" s="319">
        <f>H33-H34</f>
        <v>-10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7" ht="29.25" customHeight="1">
      <c r="B36" s="270" t="s">
        <v>267</v>
      </c>
      <c r="C36" s="270"/>
      <c r="D36" s="270"/>
      <c r="E36" s="327" t="s">
        <v>10</v>
      </c>
      <c r="F36" s="327"/>
      <c r="G36" s="287" t="s">
        <v>11</v>
      </c>
      <c r="H36" s="287"/>
      <c r="I36" s="127"/>
      <c r="J36" s="127"/>
      <c r="K36" s="6"/>
      <c r="L36" s="6"/>
      <c r="M36" s="6"/>
      <c r="N36" s="344"/>
      <c r="O36" s="344"/>
      <c r="P36" s="344"/>
      <c r="Q36" s="344"/>
    </row>
    <row r="37" spans="2:17" ht="9.75" customHeight="1">
      <c r="B37" s="270"/>
      <c r="C37" s="270"/>
      <c r="D37" s="270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</row>
    <row r="38" spans="2:17">
      <c r="B38" s="270" t="s">
        <v>268</v>
      </c>
      <c r="C38" s="270"/>
      <c r="D38" s="270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</row>
    <row r="39" spans="2:17" ht="10.5" customHeight="1">
      <c r="B39" s="270"/>
      <c r="C39" s="270"/>
      <c r="D39" s="270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7">
      <c r="B40" s="270" t="s">
        <v>269</v>
      </c>
      <c r="C40" s="270"/>
      <c r="D40" s="270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7" ht="9.75" customHeight="1">
      <c r="B41" s="61"/>
      <c r="C41" s="61"/>
      <c r="D41" s="61"/>
      <c r="E41" s="285" t="s">
        <v>12</v>
      </c>
      <c r="F41" s="285"/>
      <c r="G41" s="100"/>
      <c r="H41" s="117"/>
      <c r="I41" s="100"/>
      <c r="J41" s="117"/>
      <c r="N41" s="341"/>
      <c r="O41" s="341"/>
      <c r="P41" s="341"/>
      <c r="Q41" s="341"/>
    </row>
    <row r="42" spans="2:17">
      <c r="B42" s="270" t="s">
        <v>270</v>
      </c>
      <c r="C42" s="270"/>
      <c r="D42" s="270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7" ht="9.75" customHeight="1">
      <c r="B43" s="39"/>
      <c r="C43" s="39"/>
      <c r="D43" s="39"/>
      <c r="E43" s="285" t="s">
        <v>12</v>
      </c>
      <c r="F43" s="285"/>
      <c r="G43" s="285"/>
      <c r="H43" s="285"/>
      <c r="I43" s="20"/>
      <c r="J43" s="20"/>
      <c r="N43" s="341"/>
      <c r="O43" s="341"/>
      <c r="P43" s="341"/>
      <c r="Q43" s="341"/>
    </row>
    <row r="44" spans="2:17">
      <c r="B44" s="39"/>
      <c r="C44" s="118"/>
      <c r="D44" s="20"/>
      <c r="E44" s="20"/>
      <c r="F44" s="20"/>
      <c r="G44" s="39"/>
      <c r="H44" s="39"/>
      <c r="I44" s="39"/>
      <c r="J44" s="39"/>
    </row>
  </sheetData>
  <mergeCells count="47">
    <mergeCell ref="D35:E35"/>
    <mergeCell ref="F35:G35"/>
    <mergeCell ref="H35:I35"/>
    <mergeCell ref="E36:F36"/>
    <mergeCell ref="G36:H36"/>
    <mergeCell ref="F33:G33"/>
    <mergeCell ref="D34:E34"/>
    <mergeCell ref="F34:G34"/>
    <mergeCell ref="B30:I30"/>
    <mergeCell ref="D31:E31"/>
    <mergeCell ref="F31:G31"/>
    <mergeCell ref="H31:I31"/>
    <mergeCell ref="H32:I32"/>
    <mergeCell ref="H33:I33"/>
    <mergeCell ref="H34:I34"/>
    <mergeCell ref="D33:E33"/>
    <mergeCell ref="D32:E32"/>
    <mergeCell ref="F32:G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E43:F43"/>
    <mergeCell ref="G43:H43"/>
    <mergeCell ref="E40:F40"/>
    <mergeCell ref="G40:H40"/>
    <mergeCell ref="I40:J40"/>
    <mergeCell ref="E41:F41"/>
    <mergeCell ref="E42:F42"/>
    <mergeCell ref="G42:H42"/>
    <mergeCell ref="I42:J42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2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6.7109375" style="1" customWidth="1"/>
    <col min="3" max="3" width="11.85546875" style="3" customWidth="1"/>
    <col min="4" max="4" width="10" style="3" customWidth="1"/>
    <col min="5" max="5" width="10.5703125" style="3" customWidth="1"/>
    <col min="6" max="6" width="10.28515625" style="3" customWidth="1"/>
    <col min="7" max="7" width="10" style="3" customWidth="1"/>
    <col min="8" max="8" width="10.42578125" style="1" customWidth="1"/>
    <col min="9" max="9" width="12.42578125" style="3" customWidth="1"/>
    <col min="10" max="10" width="10.7109375" style="1" bestFit="1" customWidth="1"/>
    <col min="11" max="11" width="11.85546875" style="1" customWidth="1"/>
    <col min="12" max="12" width="13.85546875" style="1" customWidth="1"/>
    <col min="13" max="13" width="9.140625" style="1"/>
    <col min="14" max="14" width="14" style="339" customWidth="1"/>
    <col min="15" max="15" width="11.5703125" style="339" customWidth="1"/>
    <col min="16" max="16" width="11.85546875" style="339" customWidth="1"/>
    <col min="17" max="17" width="15.57031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1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227</v>
      </c>
      <c r="E5" s="299"/>
      <c r="F5" s="299"/>
    </row>
    <row r="6" spans="1:18">
      <c r="B6" s="1" t="s">
        <v>1</v>
      </c>
      <c r="D6" s="29">
        <v>1978</v>
      </c>
      <c r="E6" s="29"/>
      <c r="F6" s="29"/>
    </row>
    <row r="7" spans="1:18" hidden="1" outlineLevel="1">
      <c r="B7" s="1" t="s">
        <v>2</v>
      </c>
      <c r="D7" s="29">
        <v>2</v>
      </c>
      <c r="E7" s="29"/>
      <c r="F7" s="29"/>
    </row>
    <row r="8" spans="1:18" hidden="1" outlineLevel="1">
      <c r="B8" s="1" t="s">
        <v>3</v>
      </c>
      <c r="D8" s="29">
        <v>18</v>
      </c>
      <c r="E8" s="29"/>
      <c r="F8" s="29"/>
    </row>
    <row r="9" spans="1:18" ht="31.5" hidden="1" outlineLevel="1">
      <c r="B9" s="2" t="s">
        <v>4</v>
      </c>
      <c r="C9" s="7"/>
      <c r="D9" s="29" t="s">
        <v>228</v>
      </c>
      <c r="E9" s="29"/>
      <c r="F9" s="29"/>
    </row>
    <row r="10" spans="1:18" collapsed="1">
      <c r="B10" s="1" t="s">
        <v>5</v>
      </c>
      <c r="D10" s="38" t="s">
        <v>265</v>
      </c>
      <c r="E10" s="29"/>
      <c r="F10" s="29"/>
      <c r="J10" s="10"/>
    </row>
    <row r="11" spans="1:18" hidden="1" outlineLevel="1">
      <c r="B11" s="1" t="s">
        <v>6</v>
      </c>
      <c r="D11" s="29" t="s">
        <v>16</v>
      </c>
      <c r="E11" s="29"/>
      <c r="F11" s="29"/>
    </row>
    <row r="12" spans="1:18" ht="31.5" hidden="1" outlineLevel="1">
      <c r="B12" s="2" t="s">
        <v>7</v>
      </c>
      <c r="C12" s="7"/>
      <c r="D12" s="323" t="s">
        <v>229</v>
      </c>
      <c r="E12" s="323"/>
      <c r="F12" s="29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49805.71</v>
      </c>
      <c r="O15" s="341">
        <v>55811.08</v>
      </c>
      <c r="P15" s="341">
        <f>45660.55*1.09</f>
        <v>49769.999500000005</v>
      </c>
      <c r="Q15" s="341">
        <f>51058.48*1.09</f>
        <v>55653.743200000004</v>
      </c>
      <c r="R15" s="339">
        <f>(N15+O15)/(P15+Q15)*100</f>
        <v>100.18311558198928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11304.753396289387</v>
      </c>
      <c r="H16" s="81">
        <f>($P$15/$P$16*E16)+($Q$15/$Q$16*F16)</f>
        <v>11284.59445888894</v>
      </c>
      <c r="I16" s="82">
        <f>H16-G16</f>
        <v>-20.15893740044703</v>
      </c>
      <c r="J16" s="43"/>
      <c r="K16" s="12"/>
      <c r="L16" s="12"/>
      <c r="M16" s="13"/>
      <c r="N16" s="342">
        <v>9.0299999999999994</v>
      </c>
      <c r="O16" s="341">
        <v>10.220000000000001</v>
      </c>
      <c r="P16" s="342">
        <v>9.0299999999999994</v>
      </c>
      <c r="Q16" s="341">
        <v>10.220000000000001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72">
        <v>1.1299999999999999</v>
      </c>
      <c r="F17" s="230">
        <v>1.17</v>
      </c>
      <c r="G17" s="80">
        <f t="shared" ref="G17:G27" si="0">($N$15/$N$16*E17)+($O$15/$O$16*F17)</f>
        <v>12621.939304449399</v>
      </c>
      <c r="H17" s="53">
        <f t="shared" ref="H17:H27" si="1">($P$15/$P$16*E17)+($Q$15/$Q$16*F17)</f>
        <v>12599.458410083589</v>
      </c>
      <c r="I17" s="82">
        <f t="shared" ref="I17:I27" si="2">H17-G17</f>
        <v>-22.480894365809945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72">
        <v>0.28000000000000003</v>
      </c>
      <c r="F18" s="230">
        <v>0.27</v>
      </c>
      <c r="G18" s="80">
        <f t="shared" si="0"/>
        <v>3018.8241183877185</v>
      </c>
      <c r="H18" s="53">
        <f t="shared" si="1"/>
        <v>3013.5601687040162</v>
      </c>
      <c r="I18" s="82">
        <f t="shared" si="2"/>
        <v>-5.2639496837023216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72">
        <v>0.34</v>
      </c>
      <c r="F19" s="230">
        <v>0.34</v>
      </c>
      <c r="G19" s="80">
        <f t="shared" si="0"/>
        <v>3732.0267397867083</v>
      </c>
      <c r="H19" s="53">
        <f t="shared" si="1"/>
        <v>3725.4478617181699</v>
      </c>
      <c r="I19" s="82">
        <f t="shared" si="2"/>
        <v>-6.5788780685384154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72">
        <v>1.1399999999999999</v>
      </c>
      <c r="F20" s="230">
        <v>1.33</v>
      </c>
      <c r="G20" s="80">
        <f t="shared" si="0"/>
        <v>13550.849806580802</v>
      </c>
      <c r="H20" s="53">
        <f t="shared" si="1"/>
        <v>13525.866167268921</v>
      </c>
      <c r="I20" s="82">
        <f t="shared" si="2"/>
        <v>-24.983639311880324</v>
      </c>
      <c r="J20" s="5"/>
      <c r="N20" s="341"/>
      <c r="O20" s="341"/>
      <c r="P20" s="341"/>
      <c r="Q20" s="341"/>
    </row>
    <row r="21" spans="2:18" ht="140.25">
      <c r="B21" s="102" t="s">
        <v>282</v>
      </c>
      <c r="C21" s="76" t="s">
        <v>303</v>
      </c>
      <c r="D21" s="77" t="s">
        <v>300</v>
      </c>
      <c r="E21" s="272">
        <v>3.67</v>
      </c>
      <c r="F21" s="230">
        <v>3.33</v>
      </c>
      <c r="G21" s="80">
        <f t="shared" si="0"/>
        <v>38427.207002381707</v>
      </c>
      <c r="H21" s="53">
        <f t="shared" si="1"/>
        <v>38361.428115197443</v>
      </c>
      <c r="I21" s="82">
        <f t="shared" si="2"/>
        <v>-65.778887184264022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72">
        <v>1.94</v>
      </c>
      <c r="F22" s="230">
        <v>2</v>
      </c>
      <c r="G22" s="80">
        <v>20760.060000000001</v>
      </c>
      <c r="H22" s="53">
        <v>21102.51</v>
      </c>
      <c r="I22" s="82">
        <f t="shared" si="2"/>
        <v>342.44999999999709</v>
      </c>
      <c r="J22" s="5"/>
      <c r="N22" s="341"/>
      <c r="O22" s="341"/>
      <c r="P22" s="341"/>
      <c r="Q22" s="341"/>
      <c r="R22" s="351"/>
    </row>
    <row r="23" spans="2:18" ht="121.5" customHeight="1">
      <c r="B23" s="102" t="s">
        <v>305</v>
      </c>
      <c r="C23" s="76" t="s">
        <v>299</v>
      </c>
      <c r="D23" s="77" t="s">
        <v>300</v>
      </c>
      <c r="E23" s="272">
        <v>0.22</v>
      </c>
      <c r="F23" s="230">
        <v>0.21</v>
      </c>
      <c r="G23" s="80">
        <f t="shared" si="0"/>
        <v>2360.231164307711</v>
      </c>
      <c r="H23" s="53">
        <f t="shared" si="1"/>
        <v>2356.1281931066915</v>
      </c>
      <c r="I23" s="82">
        <f t="shared" si="2"/>
        <v>-4.1029712010194999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72">
        <v>4.6399999999999997</v>
      </c>
      <c r="F24" s="230">
        <v>4.6399999999999997</v>
      </c>
      <c r="G24" s="80">
        <v>51184.61</v>
      </c>
      <c r="H24" s="53">
        <v>52068</v>
      </c>
      <c r="I24" s="82">
        <f t="shared" si="2"/>
        <v>883.38999999999942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72">
        <v>0.71</v>
      </c>
      <c r="F25" s="230">
        <v>1.44</v>
      </c>
      <c r="G25" s="80">
        <f t="shared" si="0"/>
        <v>11779.855670899133</v>
      </c>
      <c r="H25" s="53">
        <f t="shared" si="1"/>
        <v>11754.879082663572</v>
      </c>
      <c r="I25" s="82">
        <f t="shared" si="2"/>
        <v>-24.976588235560484</v>
      </c>
      <c r="J25" s="5"/>
      <c r="K25" s="271"/>
      <c r="L25" s="271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72">
        <v>0.25</v>
      </c>
      <c r="F26" s="230">
        <v>0.83</v>
      </c>
      <c r="G26" s="80">
        <f t="shared" si="0"/>
        <v>5911.4980131676748</v>
      </c>
      <c r="H26" s="53">
        <f t="shared" si="1"/>
        <v>5897.7315084983093</v>
      </c>
      <c r="I26" s="82">
        <f t="shared" si="2"/>
        <v>-13.766504669365531</v>
      </c>
      <c r="J26" s="5"/>
      <c r="K26" s="85"/>
      <c r="L26" s="85"/>
      <c r="M26" s="10"/>
      <c r="N26" s="345"/>
      <c r="O26" s="345"/>
      <c r="P26" s="341"/>
      <c r="Q26" s="341"/>
    </row>
    <row r="27" spans="2:18" ht="16.5" thickBot="1">
      <c r="B27" s="103" t="s">
        <v>273</v>
      </c>
      <c r="C27" s="104" t="s">
        <v>303</v>
      </c>
      <c r="D27" s="105" t="s">
        <v>300</v>
      </c>
      <c r="E27" s="64">
        <v>0.28000000000000003</v>
      </c>
      <c r="F27" s="106">
        <v>0.25</v>
      </c>
      <c r="G27" s="107">
        <f t="shared" si="0"/>
        <v>2909.6047837497536</v>
      </c>
      <c r="H27" s="119">
        <f t="shared" si="1"/>
        <v>2904.6487338703564</v>
      </c>
      <c r="I27" s="109">
        <f t="shared" si="2"/>
        <v>-4.9560498793971419</v>
      </c>
      <c r="J27" s="5"/>
      <c r="N27" s="341"/>
      <c r="O27" s="341"/>
      <c r="P27" s="341"/>
      <c r="Q27" s="341"/>
    </row>
    <row r="28" spans="2:18" ht="16.5" thickBot="1">
      <c r="B28" s="110" t="s">
        <v>278</v>
      </c>
      <c r="C28" s="111"/>
      <c r="D28" s="111"/>
      <c r="E28" s="112">
        <f>SUM(E16:E27)</f>
        <v>15.610000000000001</v>
      </c>
      <c r="F28" s="113">
        <f>SUM(F16:F27)</f>
        <v>16.86</v>
      </c>
      <c r="G28" s="114">
        <f>SUM(G16:G27)</f>
        <v>177561.46</v>
      </c>
      <c r="H28" s="115">
        <f>SUM(H16:H27)</f>
        <v>178594.25270000001</v>
      </c>
      <c r="I28" s="116">
        <f>H28-G28</f>
        <v>1032.79270000002</v>
      </c>
      <c r="J28" s="5"/>
      <c r="N28" s="341"/>
      <c r="O28" s="341"/>
      <c r="P28" s="341"/>
      <c r="Q28" s="341"/>
    </row>
    <row r="29" spans="2:18">
      <c r="B29" s="10"/>
      <c r="C29" s="10"/>
      <c r="D29" s="10"/>
      <c r="E29" s="46"/>
      <c r="F29" s="46"/>
      <c r="H29" s="3"/>
      <c r="N29" s="341"/>
      <c r="O29" s="341"/>
      <c r="P29" s="341"/>
      <c r="Q29" s="341"/>
      <c r="R29" s="352"/>
    </row>
    <row r="30" spans="2:18" ht="16.5" customHeight="1" thickBot="1">
      <c r="B30" s="326" t="s">
        <v>308</v>
      </c>
      <c r="C30" s="326"/>
      <c r="D30" s="326"/>
      <c r="E30" s="326"/>
      <c r="F30" s="326"/>
      <c r="G30" s="326"/>
      <c r="H30" s="326"/>
      <c r="I30" s="326"/>
      <c r="J30" s="40"/>
      <c r="K30" s="40"/>
      <c r="N30" s="341"/>
      <c r="O30" s="341"/>
      <c r="P30" s="341"/>
      <c r="Q30" s="341"/>
    </row>
    <row r="31" spans="2:18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23"/>
      <c r="K31" s="124"/>
      <c r="L31" s="44"/>
      <c r="M31" s="274"/>
      <c r="N31" s="345"/>
      <c r="O31" s="345"/>
      <c r="P31" s="345"/>
      <c r="Q31" s="345"/>
    </row>
    <row r="32" spans="2:18">
      <c r="B32" s="57" t="s">
        <v>18</v>
      </c>
      <c r="C32" s="94"/>
      <c r="D32" s="295">
        <f>F32+H32</f>
        <v>177561.46000000002</v>
      </c>
      <c r="E32" s="296"/>
      <c r="F32" s="295">
        <f>49805.71+55811.08+20760.06</f>
        <v>126376.85</v>
      </c>
      <c r="G32" s="296"/>
      <c r="H32" s="295">
        <f>G24</f>
        <v>51184.61</v>
      </c>
      <c r="I32" s="297"/>
      <c r="J32" s="125"/>
      <c r="K32" s="126"/>
      <c r="L32" s="5"/>
      <c r="M32" s="5"/>
      <c r="N32" s="341"/>
      <c r="O32" s="341"/>
      <c r="P32" s="341"/>
      <c r="Q32" s="341"/>
    </row>
    <row r="33" spans="2:18">
      <c r="B33" s="57" t="s">
        <v>19</v>
      </c>
      <c r="C33" s="94"/>
      <c r="D33" s="295">
        <f>F33+H33</f>
        <v>150199.26</v>
      </c>
      <c r="E33" s="296"/>
      <c r="F33" s="295">
        <f>42066.55+47138.76+17762.77</f>
        <v>106968.08</v>
      </c>
      <c r="G33" s="296"/>
      <c r="H33" s="295">
        <v>43231.18</v>
      </c>
      <c r="I33" s="297"/>
      <c r="J33" s="125"/>
      <c r="K33" s="126"/>
      <c r="L33" s="42"/>
      <c r="M33" s="5"/>
      <c r="N33" s="341"/>
      <c r="O33" s="341"/>
      <c r="P33" s="341"/>
      <c r="Q33" s="341"/>
    </row>
    <row r="34" spans="2:18" ht="16.5" thickBot="1">
      <c r="B34" s="58" t="s">
        <v>277</v>
      </c>
      <c r="C34" s="96"/>
      <c r="D34" s="314">
        <f>F34+H34</f>
        <v>178594.25270000001</v>
      </c>
      <c r="E34" s="315"/>
      <c r="F34" s="314">
        <f>H16+H17+H18+H19+H20+H21+H22+H23+H25+H26+H27</f>
        <v>126526.25270000001</v>
      </c>
      <c r="G34" s="315"/>
      <c r="H34" s="314">
        <f>H24</f>
        <v>52068</v>
      </c>
      <c r="I34" s="316"/>
      <c r="J34" s="125"/>
      <c r="K34" s="126"/>
      <c r="L34" s="5"/>
      <c r="M34" s="5"/>
      <c r="N34" s="341"/>
      <c r="O34" s="341"/>
      <c r="P34" s="341"/>
      <c r="Q34" s="341"/>
    </row>
    <row r="35" spans="2:18" ht="27" thickBot="1">
      <c r="B35" s="60" t="s">
        <v>245</v>
      </c>
      <c r="C35" s="98"/>
      <c r="D35" s="317">
        <f>F35+H35</f>
        <v>-28394.99270000001</v>
      </c>
      <c r="E35" s="318"/>
      <c r="F35" s="319">
        <f>F33-F34</f>
        <v>-19558.17270000001</v>
      </c>
      <c r="G35" s="320"/>
      <c r="H35" s="319">
        <f>H33-H34</f>
        <v>-8836.82</v>
      </c>
      <c r="I35" s="321"/>
      <c r="J35" s="125"/>
      <c r="K35" s="126"/>
      <c r="L35" s="5"/>
      <c r="M35" s="5"/>
      <c r="N35" s="341"/>
      <c r="O35" s="341"/>
      <c r="P35" s="341"/>
      <c r="Q35" s="341"/>
    </row>
    <row r="36" spans="2:18" ht="27.75" customHeight="1">
      <c r="B36" s="270" t="s">
        <v>267</v>
      </c>
      <c r="C36" s="270"/>
      <c r="D36" s="270"/>
      <c r="E36" s="327" t="s">
        <v>10</v>
      </c>
      <c r="F36" s="327"/>
      <c r="G36" s="336" t="s">
        <v>11</v>
      </c>
      <c r="H36" s="336"/>
      <c r="I36" s="127"/>
      <c r="J36" s="127"/>
      <c r="K36" s="6"/>
      <c r="L36" s="6"/>
      <c r="M36" s="6"/>
      <c r="N36" s="344"/>
      <c r="O36" s="344"/>
      <c r="P36" s="344"/>
      <c r="Q36" s="344"/>
      <c r="R36" s="351"/>
    </row>
    <row r="37" spans="2:18" ht="9.75" customHeight="1">
      <c r="B37" s="270"/>
      <c r="C37" s="270"/>
      <c r="D37" s="270"/>
      <c r="E37" s="285" t="s">
        <v>12</v>
      </c>
      <c r="F37" s="285"/>
      <c r="G37" s="288"/>
      <c r="H37" s="288"/>
      <c r="I37" s="288"/>
      <c r="J37" s="288"/>
      <c r="K37" s="6"/>
      <c r="L37" s="6"/>
      <c r="M37" s="6"/>
      <c r="N37" s="344"/>
      <c r="O37" s="344"/>
      <c r="P37" s="344"/>
      <c r="Q37" s="344"/>
      <c r="R37" s="351"/>
    </row>
    <row r="38" spans="2:18">
      <c r="B38" s="270" t="s">
        <v>268</v>
      </c>
      <c r="C38" s="270"/>
      <c r="D38" s="270"/>
      <c r="E38" s="286" t="s">
        <v>10</v>
      </c>
      <c r="F38" s="286"/>
      <c r="G38" s="287" t="s">
        <v>312</v>
      </c>
      <c r="H38" s="287"/>
      <c r="I38" s="287"/>
      <c r="J38" s="287"/>
      <c r="K38" s="6"/>
      <c r="L38" s="6"/>
      <c r="M38" s="6"/>
      <c r="N38" s="344"/>
      <c r="O38" s="344"/>
      <c r="P38" s="344"/>
      <c r="Q38" s="344"/>
      <c r="R38" s="351"/>
    </row>
    <row r="39" spans="2:18" ht="9.75" customHeight="1">
      <c r="B39" s="270"/>
      <c r="C39" s="270"/>
      <c r="D39" s="270"/>
      <c r="E39" s="285" t="s">
        <v>12</v>
      </c>
      <c r="F39" s="285"/>
      <c r="G39" s="287"/>
      <c r="H39" s="287"/>
      <c r="I39" s="287"/>
      <c r="J39" s="287"/>
      <c r="N39" s="341"/>
      <c r="O39" s="341"/>
      <c r="P39" s="341"/>
      <c r="Q39" s="341"/>
    </row>
    <row r="40" spans="2:18">
      <c r="B40" s="270" t="s">
        <v>269</v>
      </c>
      <c r="C40" s="270"/>
      <c r="D40" s="270"/>
      <c r="E40" s="286" t="s">
        <v>10</v>
      </c>
      <c r="F40" s="286"/>
      <c r="G40" s="287" t="s">
        <v>313</v>
      </c>
      <c r="H40" s="287"/>
      <c r="I40" s="287"/>
      <c r="J40" s="287"/>
      <c r="N40" s="341"/>
      <c r="O40" s="341"/>
      <c r="P40" s="341"/>
      <c r="Q40" s="341"/>
    </row>
    <row r="41" spans="2:18" ht="10.5" customHeight="1">
      <c r="B41" s="61"/>
      <c r="C41" s="61"/>
      <c r="D41" s="61"/>
      <c r="E41" s="285" t="s">
        <v>12</v>
      </c>
      <c r="F41" s="285"/>
      <c r="G41" s="100"/>
      <c r="H41" s="117"/>
      <c r="I41" s="273"/>
      <c r="J41" s="62"/>
      <c r="N41" s="341"/>
      <c r="O41" s="341"/>
      <c r="P41" s="341"/>
      <c r="Q41" s="341"/>
    </row>
    <row r="42" spans="2:18">
      <c r="B42" s="270" t="s">
        <v>270</v>
      </c>
      <c r="C42" s="270"/>
      <c r="D42" s="270"/>
      <c r="E42" s="286" t="s">
        <v>10</v>
      </c>
      <c r="F42" s="286"/>
      <c r="G42" s="287" t="s">
        <v>244</v>
      </c>
      <c r="H42" s="287"/>
      <c r="I42" s="287"/>
      <c r="J42" s="287"/>
      <c r="N42" s="341"/>
      <c r="O42" s="341"/>
      <c r="P42" s="341"/>
      <c r="Q42" s="341"/>
    </row>
    <row r="43" spans="2:18" ht="9.75" customHeight="1">
      <c r="E43" s="285" t="s">
        <v>12</v>
      </c>
      <c r="F43" s="285"/>
      <c r="G43" s="1"/>
      <c r="I43" s="1"/>
    </row>
    <row r="44" spans="2:18">
      <c r="G44" s="1"/>
      <c r="I44" s="1"/>
    </row>
  </sheetData>
  <mergeCells count="46">
    <mergeCell ref="B30:I30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E36:F36"/>
    <mergeCell ref="G36:H36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E41:F41"/>
    <mergeCell ref="E42:F42"/>
    <mergeCell ref="G42:H42"/>
    <mergeCell ref="I42:J42"/>
    <mergeCell ref="E43:F43"/>
  </mergeCells>
  <pageMargins left="0.19685039370078741" right="0.19685039370078741" top="0.16" bottom="0.25" header="0.31496062992125984" footer="0.31496062992125984"/>
  <pageSetup paperSize="9" scale="41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0.140625" style="1" customWidth="1"/>
    <col min="3" max="3" width="12.7109375" style="3" customWidth="1"/>
    <col min="4" max="4" width="9.140625" style="3" customWidth="1"/>
    <col min="5" max="5" width="9.7109375" style="3" customWidth="1"/>
    <col min="6" max="6" width="10.28515625" style="3" customWidth="1"/>
    <col min="7" max="7" width="10.42578125" style="3" customWidth="1"/>
    <col min="8" max="8" width="10.28515625" style="1" customWidth="1"/>
    <col min="9" max="9" width="10.5703125" style="3" customWidth="1"/>
    <col min="10" max="10" width="10.7109375" style="1" bestFit="1" customWidth="1"/>
    <col min="11" max="11" width="11.5703125" style="1" customWidth="1"/>
    <col min="12" max="12" width="13.85546875" style="1" customWidth="1"/>
    <col min="13" max="13" width="9.140625" style="1"/>
    <col min="14" max="14" width="11.85546875" style="339" customWidth="1"/>
    <col min="15" max="15" width="11.7109375" style="339" customWidth="1"/>
    <col min="16" max="17" width="12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.7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3.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5" t="s">
        <v>0</v>
      </c>
      <c r="C5" s="8"/>
      <c r="D5" s="325" t="s">
        <v>230</v>
      </c>
      <c r="E5" s="325"/>
      <c r="F5" s="18"/>
    </row>
    <row r="6" spans="1:18">
      <c r="B6" s="5" t="s">
        <v>1</v>
      </c>
      <c r="C6" s="8"/>
      <c r="D6" s="30">
        <v>1969</v>
      </c>
      <c r="E6" s="30"/>
      <c r="F6" s="29"/>
    </row>
    <row r="7" spans="1:18" hidden="1" outlineLevel="1">
      <c r="B7" s="5" t="s">
        <v>2</v>
      </c>
      <c r="C7" s="8"/>
      <c r="D7" s="30">
        <v>2</v>
      </c>
      <c r="E7" s="30"/>
      <c r="F7" s="29"/>
    </row>
    <row r="8" spans="1:18" hidden="1" outlineLevel="1">
      <c r="B8" s="5" t="s">
        <v>3</v>
      </c>
      <c r="C8" s="8"/>
      <c r="D8" s="30">
        <v>16</v>
      </c>
      <c r="E8" s="30"/>
      <c r="F8" s="29"/>
    </row>
    <row r="9" spans="1:18" ht="31.5" hidden="1" outlineLevel="1">
      <c r="B9" s="4" t="s">
        <v>4</v>
      </c>
      <c r="C9" s="9"/>
      <c r="D9" s="30" t="s">
        <v>231</v>
      </c>
      <c r="E9" s="30"/>
      <c r="F9" s="29"/>
    </row>
    <row r="10" spans="1:18" collapsed="1">
      <c r="B10" s="5" t="s">
        <v>5</v>
      </c>
      <c r="C10" s="8"/>
      <c r="D10" s="37" t="s">
        <v>253</v>
      </c>
      <c r="E10" s="30"/>
      <c r="F10" s="29"/>
      <c r="J10" s="10"/>
    </row>
    <row r="11" spans="1:18" hidden="1" outlineLevel="1">
      <c r="B11" s="5" t="s">
        <v>6</v>
      </c>
      <c r="C11" s="8"/>
      <c r="D11" s="30" t="s">
        <v>16</v>
      </c>
      <c r="E11" s="30"/>
      <c r="F11" s="29"/>
    </row>
    <row r="12" spans="1:18" ht="31.5" hidden="1" outlineLevel="1">
      <c r="B12" s="4" t="s">
        <v>7</v>
      </c>
      <c r="C12" s="9"/>
      <c r="D12" s="324" t="s">
        <v>232</v>
      </c>
      <c r="E12" s="324"/>
      <c r="F12" s="29"/>
      <c r="J12" s="10"/>
    </row>
    <row r="13" spans="1:18" ht="35.2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2.25" customHeight="1">
      <c r="B14" s="328" t="s">
        <v>293</v>
      </c>
      <c r="C14" s="303" t="s">
        <v>294</v>
      </c>
      <c r="D14" s="303" t="s">
        <v>316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M14" s="10"/>
      <c r="N14" s="340"/>
      <c r="O14" s="340"/>
      <c r="P14" s="340"/>
      <c r="Q14" s="340"/>
    </row>
    <row r="15" spans="1:18" ht="53.25" customHeight="1" thickBot="1">
      <c r="B15" s="329"/>
      <c r="C15" s="304"/>
      <c r="D15" s="304"/>
      <c r="E15" s="306"/>
      <c r="F15" s="308"/>
      <c r="G15" s="74" t="s">
        <v>274</v>
      </c>
      <c r="H15" s="75" t="s">
        <v>275</v>
      </c>
      <c r="I15" s="312"/>
      <c r="N15" s="341">
        <v>28936.84</v>
      </c>
      <c r="O15" s="341">
        <v>32587.58</v>
      </c>
      <c r="P15" s="341">
        <f>32172.47*0.9</f>
        <v>28955.223000000002</v>
      </c>
      <c r="Q15" s="341">
        <f>35975.86*0.9</f>
        <v>32378.274000000001</v>
      </c>
      <c r="R15" s="339">
        <f>(N15+O15)/(P15+Q15)*100</f>
        <v>100.31128666933829</v>
      </c>
    </row>
    <row r="16" spans="1:18" ht="48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8008.4388671732231</v>
      </c>
      <c r="H16" s="81">
        <f>($P$15/$P$16*E16)+($Q$15/$Q$16*F16)</f>
        <v>7984.8777559055507</v>
      </c>
      <c r="I16" s="82">
        <f>H16-G16</f>
        <v>-23.561111267672459</v>
      </c>
      <c r="J16" s="43"/>
      <c r="K16" s="12"/>
      <c r="L16" s="12"/>
      <c r="M16" s="13"/>
      <c r="N16" s="342">
        <v>7.4</v>
      </c>
      <c r="O16" s="341">
        <v>8.43</v>
      </c>
      <c r="P16" s="342">
        <v>7.4</v>
      </c>
      <c r="Q16" s="341">
        <v>8.43</v>
      </c>
      <c r="R16" s="350"/>
    </row>
    <row r="17" spans="2:18" ht="51">
      <c r="B17" s="102" t="s">
        <v>301</v>
      </c>
      <c r="C17" s="76" t="s">
        <v>299</v>
      </c>
      <c r="D17" s="77" t="s">
        <v>300</v>
      </c>
      <c r="E17" s="280">
        <v>1.1299999999999999</v>
      </c>
      <c r="F17" s="230">
        <v>1.17</v>
      </c>
      <c r="G17" s="80">
        <f t="shared" ref="G17:G28" si="0">($N$15/$N$16*E17)+($O$15/$O$16*F17)</f>
        <v>8941.5650635760321</v>
      </c>
      <c r="H17" s="53">
        <f t="shared" ref="H17:H28" si="1">($P$15/$P$16*E17)+($Q$15/$Q$16*F17)</f>
        <v>8915.3226101712025</v>
      </c>
      <c r="I17" s="82">
        <f t="shared" ref="I17:I28" si="2">H17-G17</f>
        <v>-26.242453404829575</v>
      </c>
      <c r="J17" s="34"/>
      <c r="K17" s="6"/>
      <c r="L17" s="6"/>
      <c r="M17" s="6"/>
      <c r="N17" s="343"/>
      <c r="O17" s="344"/>
      <c r="P17" s="344"/>
      <c r="Q17" s="344"/>
      <c r="R17" s="351"/>
    </row>
    <row r="18" spans="2:18" ht="48">
      <c r="B18" s="84" t="s">
        <v>271</v>
      </c>
      <c r="C18" s="76" t="s">
        <v>299</v>
      </c>
      <c r="D18" s="77" t="s">
        <v>300</v>
      </c>
      <c r="E18" s="280">
        <v>0.28000000000000003</v>
      </c>
      <c r="F18" s="230">
        <v>0.27</v>
      </c>
      <c r="G18" s="80">
        <f t="shared" si="0"/>
        <v>2138.6377797441573</v>
      </c>
      <c r="H18" s="53">
        <f t="shared" si="1"/>
        <v>2132.6296018274506</v>
      </c>
      <c r="I18" s="82">
        <f t="shared" si="2"/>
        <v>-6.0081779167066998</v>
      </c>
      <c r="J18" s="5"/>
      <c r="M18" s="10"/>
      <c r="N18" s="341"/>
      <c r="O18" s="341"/>
      <c r="P18" s="341"/>
      <c r="Q18" s="341"/>
    </row>
    <row r="19" spans="2:18" ht="25.5">
      <c r="B19" s="84" t="s">
        <v>272</v>
      </c>
      <c r="C19" s="83" t="s">
        <v>302</v>
      </c>
      <c r="D19" s="77" t="s">
        <v>300</v>
      </c>
      <c r="E19" s="280">
        <v>0.04</v>
      </c>
      <c r="F19" s="230">
        <v>0.04</v>
      </c>
      <c r="G19" s="80">
        <f t="shared" si="0"/>
        <v>311.04206546760281</v>
      </c>
      <c r="H19" s="53">
        <f t="shared" si="1"/>
        <v>310.1482847552179</v>
      </c>
      <c r="I19" s="82">
        <f t="shared" si="2"/>
        <v>-0.89378071238490975</v>
      </c>
      <c r="J19" s="5"/>
      <c r="M19" s="10"/>
      <c r="N19" s="341"/>
      <c r="O19" s="341"/>
      <c r="P19" s="341"/>
      <c r="Q19" s="341"/>
    </row>
    <row r="20" spans="2:18" ht="51">
      <c r="B20" s="102" t="s">
        <v>281</v>
      </c>
      <c r="C20" s="76" t="s">
        <v>299</v>
      </c>
      <c r="D20" s="77" t="s">
        <v>300</v>
      </c>
      <c r="E20" s="280">
        <v>1.1399999999999999</v>
      </c>
      <c r="F20" s="230">
        <v>1.33</v>
      </c>
      <c r="G20" s="80">
        <f t="shared" si="0"/>
        <v>9599.1757578788747</v>
      </c>
      <c r="H20" s="53">
        <f t="shared" si="1"/>
        <v>9568.9855532461297</v>
      </c>
      <c r="I20" s="82">
        <f t="shared" si="2"/>
        <v>-30.190204632745008</v>
      </c>
      <c r="J20" s="5"/>
      <c r="N20" s="341"/>
      <c r="O20" s="341"/>
      <c r="P20" s="341"/>
      <c r="Q20" s="341"/>
    </row>
    <row r="21" spans="2:18" ht="165.75">
      <c r="B21" s="102" t="s">
        <v>282</v>
      </c>
      <c r="C21" s="76" t="s">
        <v>303</v>
      </c>
      <c r="D21" s="77" t="s">
        <v>300</v>
      </c>
      <c r="E21" s="280">
        <f>3.67-0.9</f>
        <v>2.77</v>
      </c>
      <c r="F21" s="230">
        <f>3.33-0.9</f>
        <v>2.4300000000000002</v>
      </c>
      <c r="G21" s="80">
        <f t="shared" si="0"/>
        <v>20225.33596364336</v>
      </c>
      <c r="H21" s="53">
        <f t="shared" si="1"/>
        <v>20171.883409690297</v>
      </c>
      <c r="I21" s="82">
        <f t="shared" si="2"/>
        <v>-53.452553953062306</v>
      </c>
      <c r="J21" s="34"/>
      <c r="K21" s="6"/>
      <c r="L21" s="6"/>
      <c r="M21" s="11"/>
      <c r="N21" s="344"/>
      <c r="O21" s="344"/>
      <c r="P21" s="344"/>
      <c r="Q21" s="344"/>
    </row>
    <row r="22" spans="2:18" ht="24">
      <c r="B22" s="84" t="s">
        <v>304</v>
      </c>
      <c r="C22" s="76" t="s">
        <v>302</v>
      </c>
      <c r="D22" s="77" t="s">
        <v>300</v>
      </c>
      <c r="E22" s="280">
        <v>1.94</v>
      </c>
      <c r="F22" s="230">
        <v>2</v>
      </c>
      <c r="G22" s="80">
        <v>14645.64</v>
      </c>
      <c r="H22" s="53">
        <v>14868.85</v>
      </c>
      <c r="I22" s="82">
        <f t="shared" si="2"/>
        <v>223.21000000000095</v>
      </c>
      <c r="J22" s="5"/>
      <c r="N22" s="341"/>
      <c r="O22" s="341"/>
      <c r="P22" s="341"/>
      <c r="Q22" s="341"/>
      <c r="R22" s="351"/>
    </row>
    <row r="23" spans="2:18" ht="121.5" customHeight="1">
      <c r="B23" s="102" t="s">
        <v>305</v>
      </c>
      <c r="C23" s="76" t="s">
        <v>299</v>
      </c>
      <c r="D23" s="77" t="s">
        <v>300</v>
      </c>
      <c r="E23" s="280">
        <v>0.22</v>
      </c>
      <c r="F23" s="230">
        <v>0.21</v>
      </c>
      <c r="G23" s="80">
        <f t="shared" si="0"/>
        <v>1672.0746815427528</v>
      </c>
      <c r="H23" s="53">
        <f t="shared" si="1"/>
        <v>1667.4071746946233</v>
      </c>
      <c r="I23" s="82">
        <f t="shared" si="2"/>
        <v>-4.6675068481295057</v>
      </c>
      <c r="J23" s="5"/>
      <c r="N23" s="341"/>
      <c r="O23" s="341"/>
      <c r="P23" s="341"/>
      <c r="Q23" s="341"/>
    </row>
    <row r="24" spans="2:18" ht="48">
      <c r="B24" s="84" t="s">
        <v>306</v>
      </c>
      <c r="C24" s="76" t="s">
        <v>299</v>
      </c>
      <c r="D24" s="77" t="s">
        <v>300</v>
      </c>
      <c r="E24" s="280">
        <v>4.33</v>
      </c>
      <c r="F24" s="230">
        <v>4.33</v>
      </c>
      <c r="G24" s="80">
        <v>33863.93</v>
      </c>
      <c r="H24" s="53">
        <v>34694</v>
      </c>
      <c r="I24" s="82">
        <f t="shared" si="2"/>
        <v>830.06999999999971</v>
      </c>
      <c r="J24" s="5"/>
      <c r="M24" s="10"/>
      <c r="N24" s="341"/>
      <c r="O24" s="341"/>
      <c r="P24" s="341"/>
      <c r="Q24" s="341"/>
    </row>
    <row r="25" spans="2:18" ht="63.75">
      <c r="B25" s="102" t="s">
        <v>307</v>
      </c>
      <c r="C25" s="83" t="s">
        <v>303</v>
      </c>
      <c r="D25" s="77" t="s">
        <v>300</v>
      </c>
      <c r="E25" s="280">
        <f>0.71-0.2</f>
        <v>0.51</v>
      </c>
      <c r="F25" s="230">
        <f>1.44-0.2</f>
        <v>1.24</v>
      </c>
      <c r="G25" s="80">
        <f t="shared" si="0"/>
        <v>6787.723867333526</v>
      </c>
      <c r="H25" s="53">
        <f t="shared" si="1"/>
        <v>6758.2032071414833</v>
      </c>
      <c r="I25" s="82">
        <f t="shared" si="2"/>
        <v>-29.520660192042669</v>
      </c>
      <c r="J25" s="5"/>
      <c r="K25" s="279"/>
      <c r="L25" s="279"/>
      <c r="M25" s="10"/>
      <c r="N25" s="341"/>
      <c r="O25" s="341"/>
      <c r="P25" s="341"/>
      <c r="Q25" s="341"/>
    </row>
    <row r="26" spans="2:18" ht="63.75">
      <c r="B26" s="102" t="s">
        <v>283</v>
      </c>
      <c r="C26" s="83" t="s">
        <v>303</v>
      </c>
      <c r="D26" s="77" t="s">
        <v>300</v>
      </c>
      <c r="E26" s="280">
        <v>0.25</v>
      </c>
      <c r="F26" s="230">
        <f>0.83-0.19</f>
        <v>0.6399999999999999</v>
      </c>
      <c r="G26" s="80">
        <f t="shared" si="0"/>
        <v>3451.6233718059693</v>
      </c>
      <c r="H26" s="53">
        <f t="shared" si="1"/>
        <v>3436.3540466240256</v>
      </c>
      <c r="I26" s="82">
        <f t="shared" si="2"/>
        <v>-15.269325181943714</v>
      </c>
      <c r="J26" s="5"/>
      <c r="K26" s="85"/>
      <c r="L26" s="85"/>
      <c r="M26" s="10"/>
      <c r="N26" s="345"/>
      <c r="O26" s="345"/>
      <c r="P26" s="341"/>
      <c r="Q26" s="341"/>
    </row>
    <row r="27" spans="2:18">
      <c r="B27" s="84" t="s">
        <v>326</v>
      </c>
      <c r="C27" s="83"/>
      <c r="D27" s="77" t="s">
        <v>300</v>
      </c>
      <c r="E27" s="280"/>
      <c r="F27" s="230"/>
      <c r="G27" s="80"/>
      <c r="H27" s="53">
        <v>10174</v>
      </c>
      <c r="I27" s="82">
        <f t="shared" si="2"/>
        <v>10174</v>
      </c>
      <c r="J27" s="5"/>
      <c r="K27" s="85"/>
      <c r="L27" s="85"/>
      <c r="M27" s="10"/>
      <c r="N27" s="345"/>
      <c r="O27" s="345"/>
      <c r="P27" s="341"/>
      <c r="Q27" s="341"/>
    </row>
    <row r="28" spans="2:18" ht="16.5" thickBot="1">
      <c r="B28" s="235" t="s">
        <v>273</v>
      </c>
      <c r="C28" s="236" t="s">
        <v>303</v>
      </c>
      <c r="D28" s="105" t="s">
        <v>300</v>
      </c>
      <c r="E28" s="59">
        <v>0.05</v>
      </c>
      <c r="F28" s="237">
        <v>0.05</v>
      </c>
      <c r="G28" s="238">
        <f t="shared" si="0"/>
        <v>388.8025818345036</v>
      </c>
      <c r="H28" s="108">
        <f t="shared" si="1"/>
        <v>387.68535594402238</v>
      </c>
      <c r="I28" s="109">
        <f t="shared" si="2"/>
        <v>-1.1172258904812225</v>
      </c>
      <c r="J28" s="5"/>
      <c r="N28" s="341"/>
      <c r="O28" s="341"/>
      <c r="P28" s="341"/>
      <c r="Q28" s="341"/>
    </row>
    <row r="29" spans="2:18" ht="16.5" thickBot="1">
      <c r="B29" s="110" t="s">
        <v>278</v>
      </c>
      <c r="C29" s="111"/>
      <c r="D29" s="111"/>
      <c r="E29" s="112">
        <f>SUM(E16:E28)</f>
        <v>13.67</v>
      </c>
      <c r="F29" s="113">
        <f>SUM(F16:F28)</f>
        <v>14.760000000000002</v>
      </c>
      <c r="G29" s="114">
        <f>SUM(G16:G28)</f>
        <v>110033.99</v>
      </c>
      <c r="H29" s="115">
        <f>SUM(H16:H28)</f>
        <v>121070.34699999999</v>
      </c>
      <c r="I29" s="116">
        <f>H29-G29</f>
        <v>11036.356999999989</v>
      </c>
      <c r="J29" s="5"/>
      <c r="N29" s="341"/>
      <c r="O29" s="341"/>
      <c r="P29" s="341"/>
      <c r="Q29" s="341"/>
    </row>
    <row r="30" spans="2:18">
      <c r="B30" s="10"/>
      <c r="C30" s="10"/>
      <c r="D30" s="10"/>
      <c r="E30" s="46"/>
      <c r="F30" s="46"/>
      <c r="H30" s="3"/>
      <c r="N30" s="341"/>
      <c r="O30" s="341"/>
      <c r="P30" s="341"/>
      <c r="Q30" s="341"/>
      <c r="R30" s="352"/>
    </row>
    <row r="31" spans="2:18" ht="16.5" customHeight="1" thickBot="1">
      <c r="B31" s="326" t="s">
        <v>308</v>
      </c>
      <c r="C31" s="326"/>
      <c r="D31" s="326"/>
      <c r="E31" s="326"/>
      <c r="F31" s="326"/>
      <c r="G31" s="326"/>
      <c r="H31" s="326"/>
      <c r="I31" s="326"/>
      <c r="J31" s="40"/>
      <c r="K31" s="40"/>
      <c r="N31" s="341"/>
      <c r="O31" s="341"/>
      <c r="P31" s="341"/>
      <c r="Q31" s="341"/>
    </row>
    <row r="32" spans="2:18" ht="43.5" customHeight="1">
      <c r="B32" s="56"/>
      <c r="C32" s="91"/>
      <c r="D32" s="290" t="s">
        <v>309</v>
      </c>
      <c r="E32" s="291"/>
      <c r="F32" s="292" t="s">
        <v>8</v>
      </c>
      <c r="G32" s="293"/>
      <c r="H32" s="292" t="s">
        <v>9</v>
      </c>
      <c r="I32" s="294"/>
      <c r="J32" s="123"/>
      <c r="K32" s="124"/>
      <c r="L32" s="44"/>
      <c r="M32" s="283"/>
      <c r="N32" s="345"/>
      <c r="O32" s="345"/>
      <c r="P32" s="345"/>
      <c r="Q32" s="345"/>
    </row>
    <row r="33" spans="2:18">
      <c r="B33" s="57" t="s">
        <v>18</v>
      </c>
      <c r="C33" s="94"/>
      <c r="D33" s="295">
        <f>F33+H33</f>
        <v>120208.47</v>
      </c>
      <c r="E33" s="296"/>
      <c r="F33" s="295">
        <f>28936.84+32587.58+14645.64+10174.48</f>
        <v>86344.54</v>
      </c>
      <c r="G33" s="296"/>
      <c r="H33" s="295">
        <f>G24</f>
        <v>33863.93</v>
      </c>
      <c r="I33" s="297"/>
      <c r="J33" s="125"/>
      <c r="K33" s="126"/>
      <c r="L33" s="5"/>
      <c r="M33" s="5"/>
      <c r="N33" s="341"/>
      <c r="O33" s="341"/>
      <c r="P33" s="341"/>
      <c r="Q33" s="341"/>
    </row>
    <row r="34" spans="2:18">
      <c r="B34" s="57" t="s">
        <v>19</v>
      </c>
      <c r="C34" s="94"/>
      <c r="D34" s="295">
        <f>F34+H34</f>
        <v>112133.79999999999</v>
      </c>
      <c r="E34" s="296"/>
      <c r="F34" s="295">
        <f>27759.29+31261.46+13608.92+7018.26</f>
        <v>79647.929999999993</v>
      </c>
      <c r="G34" s="296"/>
      <c r="H34" s="295">
        <v>32485.87</v>
      </c>
      <c r="I34" s="297"/>
      <c r="J34" s="125"/>
      <c r="K34" s="126"/>
      <c r="L34" s="42"/>
      <c r="M34" s="5"/>
      <c r="N34" s="341"/>
      <c r="O34" s="341"/>
      <c r="P34" s="341"/>
      <c r="Q34" s="341"/>
    </row>
    <row r="35" spans="2:18" ht="16.5" thickBot="1">
      <c r="B35" s="58" t="s">
        <v>277</v>
      </c>
      <c r="C35" s="96"/>
      <c r="D35" s="314">
        <f>F35+H35</f>
        <v>121070.34699999999</v>
      </c>
      <c r="E35" s="315"/>
      <c r="F35" s="314">
        <f>H16+H17+H18+H19+H20+H21+H22+H23+H25+H26+H28+H27</f>
        <v>86376.346999999994</v>
      </c>
      <c r="G35" s="315"/>
      <c r="H35" s="314">
        <f>H24</f>
        <v>34694</v>
      </c>
      <c r="I35" s="316"/>
      <c r="J35" s="125"/>
      <c r="K35" s="126"/>
      <c r="L35" s="5"/>
      <c r="M35" s="5"/>
      <c r="N35" s="341"/>
      <c r="O35" s="341"/>
      <c r="P35" s="341"/>
      <c r="Q35" s="341"/>
    </row>
    <row r="36" spans="2:18" ht="27" thickBot="1">
      <c r="B36" s="60" t="s">
        <v>245</v>
      </c>
      <c r="C36" s="98"/>
      <c r="D36" s="317">
        <f>F36+H36</f>
        <v>-8936.5470000000023</v>
      </c>
      <c r="E36" s="318"/>
      <c r="F36" s="319">
        <f>F34-F35</f>
        <v>-6728.4170000000013</v>
      </c>
      <c r="G36" s="320"/>
      <c r="H36" s="319">
        <f>H34-H35</f>
        <v>-2208.130000000001</v>
      </c>
      <c r="I36" s="321"/>
      <c r="J36" s="125"/>
      <c r="K36" s="126"/>
      <c r="L36" s="5"/>
      <c r="M36" s="5"/>
      <c r="N36" s="341"/>
      <c r="O36" s="341"/>
      <c r="P36" s="341"/>
      <c r="Q36" s="341"/>
    </row>
    <row r="37" spans="2:18" ht="27.75" customHeight="1">
      <c r="B37" s="275" t="s">
        <v>267</v>
      </c>
      <c r="C37" s="275"/>
      <c r="D37" s="275"/>
      <c r="E37" s="327" t="s">
        <v>10</v>
      </c>
      <c r="F37" s="327"/>
      <c r="G37" s="336" t="s">
        <v>11</v>
      </c>
      <c r="H37" s="336"/>
      <c r="I37" s="127"/>
      <c r="J37" s="127"/>
      <c r="K37" s="6"/>
      <c r="L37" s="6"/>
      <c r="M37" s="6"/>
      <c r="N37" s="344"/>
      <c r="O37" s="344"/>
      <c r="P37" s="344"/>
      <c r="Q37" s="344"/>
      <c r="R37" s="351"/>
    </row>
    <row r="38" spans="2:18" ht="9.75" customHeight="1">
      <c r="B38" s="275"/>
      <c r="C38" s="275"/>
      <c r="D38" s="275"/>
      <c r="E38" s="285" t="s">
        <v>12</v>
      </c>
      <c r="F38" s="285"/>
      <c r="G38" s="288"/>
      <c r="H38" s="288"/>
      <c r="I38" s="288"/>
      <c r="J38" s="288"/>
      <c r="K38" s="6"/>
      <c r="L38" s="6"/>
      <c r="M38" s="6"/>
      <c r="N38" s="344"/>
      <c r="O38" s="344"/>
      <c r="P38" s="344"/>
      <c r="Q38" s="344"/>
      <c r="R38" s="351"/>
    </row>
    <row r="39" spans="2:18">
      <c r="B39" s="275" t="s">
        <v>268</v>
      </c>
      <c r="C39" s="275"/>
      <c r="D39" s="275"/>
      <c r="E39" s="286" t="s">
        <v>10</v>
      </c>
      <c r="F39" s="286"/>
      <c r="G39" s="287" t="s">
        <v>312</v>
      </c>
      <c r="H39" s="287"/>
      <c r="I39" s="287"/>
      <c r="J39" s="287"/>
      <c r="K39" s="6"/>
      <c r="L39" s="6"/>
      <c r="M39" s="6"/>
      <c r="N39" s="344"/>
      <c r="O39" s="344"/>
      <c r="P39" s="344"/>
      <c r="Q39" s="344"/>
      <c r="R39" s="351"/>
    </row>
    <row r="40" spans="2:18" ht="9.75" customHeight="1">
      <c r="B40" s="275"/>
      <c r="C40" s="275"/>
      <c r="D40" s="275"/>
      <c r="E40" s="285" t="s">
        <v>12</v>
      </c>
      <c r="F40" s="285"/>
      <c r="G40" s="287"/>
      <c r="H40" s="287"/>
      <c r="I40" s="287"/>
      <c r="J40" s="287"/>
      <c r="N40" s="341"/>
      <c r="O40" s="341"/>
      <c r="P40" s="341"/>
      <c r="Q40" s="341"/>
    </row>
    <row r="41" spans="2:18">
      <c r="B41" s="275" t="s">
        <v>269</v>
      </c>
      <c r="C41" s="275"/>
      <c r="D41" s="275"/>
      <c r="E41" s="286" t="s">
        <v>10</v>
      </c>
      <c r="F41" s="286"/>
      <c r="G41" s="287" t="s">
        <v>313</v>
      </c>
      <c r="H41" s="287"/>
      <c r="I41" s="287"/>
      <c r="J41" s="287"/>
      <c r="N41" s="341"/>
      <c r="O41" s="341"/>
      <c r="P41" s="341"/>
      <c r="Q41" s="341"/>
    </row>
    <row r="42" spans="2:18" ht="10.5" customHeight="1">
      <c r="B42" s="61"/>
      <c r="C42" s="61"/>
      <c r="D42" s="61"/>
      <c r="E42" s="285" t="s">
        <v>12</v>
      </c>
      <c r="F42" s="285"/>
      <c r="G42" s="100"/>
      <c r="H42" s="117"/>
      <c r="I42" s="282"/>
      <c r="J42" s="62"/>
      <c r="N42" s="341"/>
      <c r="O42" s="341"/>
      <c r="P42" s="341"/>
      <c r="Q42" s="341"/>
    </row>
    <row r="43" spans="2:18">
      <c r="B43" s="275" t="s">
        <v>270</v>
      </c>
      <c r="C43" s="275"/>
      <c r="D43" s="275"/>
      <c r="E43" s="286" t="s">
        <v>10</v>
      </c>
      <c r="F43" s="286"/>
      <c r="G43" s="287" t="s">
        <v>244</v>
      </c>
      <c r="H43" s="287"/>
      <c r="I43" s="287"/>
      <c r="J43" s="287"/>
      <c r="N43" s="341"/>
      <c r="O43" s="341"/>
      <c r="P43" s="341"/>
      <c r="Q43" s="341"/>
    </row>
    <row r="44" spans="2:18" ht="9.75" customHeight="1">
      <c r="E44" s="285" t="s">
        <v>12</v>
      </c>
      <c r="F44" s="285"/>
      <c r="G44" s="1"/>
      <c r="I44" s="1"/>
    </row>
    <row r="45" spans="2:18">
      <c r="G45" s="1"/>
      <c r="I45" s="1"/>
    </row>
  </sheetData>
  <mergeCells count="46">
    <mergeCell ref="E42:F42"/>
    <mergeCell ref="E43:F43"/>
    <mergeCell ref="G43:H43"/>
    <mergeCell ref="I43:J43"/>
    <mergeCell ref="E44:F44"/>
    <mergeCell ref="E40:F40"/>
    <mergeCell ref="G40:H40"/>
    <mergeCell ref="I40:J40"/>
    <mergeCell ref="E41:F41"/>
    <mergeCell ref="G41:H41"/>
    <mergeCell ref="I41:J41"/>
    <mergeCell ref="E38:F38"/>
    <mergeCell ref="G38:H38"/>
    <mergeCell ref="I38:J38"/>
    <mergeCell ref="E39:F39"/>
    <mergeCell ref="G39:H39"/>
    <mergeCell ref="I39:J39"/>
    <mergeCell ref="H36:I36"/>
    <mergeCell ref="E37:F37"/>
    <mergeCell ref="G37:H37"/>
    <mergeCell ref="D36:E36"/>
    <mergeCell ref="F36:G36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E5"/>
    <mergeCell ref="D12:E12"/>
    <mergeCell ref="B31:I31"/>
    <mergeCell ref="D34:E34"/>
    <mergeCell ref="F34:G34"/>
    <mergeCell ref="D35:E35"/>
    <mergeCell ref="F35:G35"/>
    <mergeCell ref="D32:E32"/>
    <mergeCell ref="F32:G32"/>
    <mergeCell ref="H32:I32"/>
    <mergeCell ref="D33:E33"/>
    <mergeCell ref="F33:G33"/>
    <mergeCell ref="H33:I33"/>
    <mergeCell ref="H34:I34"/>
    <mergeCell ref="H35:I35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5703125" style="1" customWidth="1"/>
    <col min="3" max="3" width="12.28515625" style="3" customWidth="1"/>
    <col min="4" max="4" width="8.28515625" style="3" customWidth="1"/>
    <col min="5" max="5" width="9" style="3" customWidth="1"/>
    <col min="6" max="6" width="9.42578125" style="3" customWidth="1"/>
    <col min="7" max="7" width="10.28515625" style="1" customWidth="1"/>
    <col min="8" max="8" width="10.42578125" style="1" customWidth="1"/>
    <col min="9" max="9" width="11.140625" style="1" customWidth="1"/>
    <col min="10" max="10" width="10.7109375" style="1" bestFit="1" customWidth="1"/>
    <col min="11" max="13" width="9.140625" style="1"/>
    <col min="14" max="20" width="9.140625" style="339"/>
    <col min="21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0.2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.7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285</v>
      </c>
      <c r="E5" s="299"/>
      <c r="F5" s="299"/>
    </row>
    <row r="6" spans="1:18">
      <c r="B6" s="1" t="s">
        <v>1</v>
      </c>
      <c r="D6" s="29">
        <v>1986</v>
      </c>
      <c r="E6" s="29"/>
      <c r="F6" s="29"/>
    </row>
    <row r="7" spans="1:18" hidden="1" outlineLevel="1">
      <c r="B7" s="1" t="s">
        <v>2</v>
      </c>
      <c r="D7" s="29">
        <v>2</v>
      </c>
      <c r="E7" s="29"/>
      <c r="F7" s="29"/>
    </row>
    <row r="8" spans="1:18" hidden="1" outlineLevel="1">
      <c r="B8" s="1" t="s">
        <v>3</v>
      </c>
      <c r="D8" s="29">
        <v>8</v>
      </c>
      <c r="E8" s="29"/>
      <c r="F8" s="29"/>
    </row>
    <row r="9" spans="1:18" ht="30.75" hidden="1" customHeight="1" outlineLevel="1">
      <c r="B9" s="2" t="s">
        <v>4</v>
      </c>
      <c r="C9" s="7"/>
      <c r="D9" s="29" t="s">
        <v>234</v>
      </c>
      <c r="E9" s="29"/>
      <c r="F9" s="29"/>
    </row>
    <row r="10" spans="1:18" collapsed="1">
      <c r="B10" s="1" t="s">
        <v>5</v>
      </c>
      <c r="D10" s="205" t="s">
        <v>324</v>
      </c>
      <c r="E10" s="29"/>
      <c r="F10" s="29"/>
      <c r="J10" s="10"/>
    </row>
    <row r="11" spans="1:18" hidden="1" outlineLevel="1">
      <c r="B11" s="1" t="s">
        <v>6</v>
      </c>
      <c r="D11" s="29" t="s">
        <v>16</v>
      </c>
      <c r="E11" s="29"/>
      <c r="F11" s="29"/>
    </row>
    <row r="12" spans="1:18" ht="30.75" hidden="1" customHeight="1" outlineLevel="1">
      <c r="B12" s="2" t="s">
        <v>7</v>
      </c>
      <c r="C12" s="7"/>
      <c r="D12" s="323" t="s">
        <v>235</v>
      </c>
      <c r="E12" s="323"/>
      <c r="F12" s="29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27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54.7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42768.7</v>
      </c>
      <c r="O15" s="341">
        <v>47177.5</v>
      </c>
      <c r="P15" s="341">
        <f>44762.36*0.94</f>
        <v>42076.618399999999</v>
      </c>
      <c r="Q15" s="341">
        <f>50054.11*0.94</f>
        <v>47050.863399999995</v>
      </c>
      <c r="R15" s="339">
        <f>(N15+O15)/(P15+Q15)*100</f>
        <v>100.91859231683129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10895.134783024674</v>
      </c>
      <c r="H16" s="81">
        <f>($P$15/$P$16*E16)+($Q$15/$Q$16*F16)</f>
        <v>10793.370501745454</v>
      </c>
      <c r="I16" s="82">
        <f>H16-G16</f>
        <v>-101.76428127922009</v>
      </c>
      <c r="J16" s="171"/>
      <c r="K16" s="171"/>
      <c r="L16" s="12"/>
      <c r="M16" s="13"/>
      <c r="N16" s="342">
        <v>8.0399999999999991</v>
      </c>
      <c r="O16" s="341">
        <v>8.9700000000000006</v>
      </c>
      <c r="P16" s="342">
        <v>8.0399999999999991</v>
      </c>
      <c r="Q16" s="341">
        <v>8.9700000000000006</v>
      </c>
    </row>
    <row r="17" spans="2:17" ht="51">
      <c r="B17" s="102" t="s">
        <v>301</v>
      </c>
      <c r="C17" s="76" t="s">
        <v>299</v>
      </c>
      <c r="D17" s="77" t="s">
        <v>300</v>
      </c>
      <c r="E17" s="201">
        <v>1.1299999999999999</v>
      </c>
      <c r="F17" s="200">
        <v>1.17</v>
      </c>
      <c r="G17" s="80">
        <f t="shared" ref="G17:G27" si="0">($N$15/$N$16*E17)+($O$15/$O$16*F17)</f>
        <v>12164.610712740643</v>
      </c>
      <c r="H17" s="81">
        <f t="shared" ref="H17:H21" si="1">($P$15/$P$16*E17)+($Q$15/$Q$16*F17)</f>
        <v>12050.822720224962</v>
      </c>
      <c r="I17" s="82">
        <f t="shared" ref="I17:I27" si="2">H17-G17</f>
        <v>-113.78799251568125</v>
      </c>
      <c r="J17" s="171"/>
      <c r="K17" s="171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201">
        <v>0.28000000000000003</v>
      </c>
      <c r="F18" s="200">
        <v>0.27</v>
      </c>
      <c r="G18" s="80">
        <f t="shared" si="0"/>
        <v>2909.5157423584419</v>
      </c>
      <c r="H18" s="81">
        <f t="shared" si="1"/>
        <v>2881.6015940664574</v>
      </c>
      <c r="I18" s="82">
        <f t="shared" si="2"/>
        <v>-27.914148291984475</v>
      </c>
      <c r="J18" s="171"/>
      <c r="K18" s="171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201">
        <v>0.03</v>
      </c>
      <c r="F19" s="200">
        <v>0</v>
      </c>
      <c r="G19" s="80">
        <f t="shared" si="0"/>
        <v>159.58470149253731</v>
      </c>
      <c r="H19" s="81">
        <f t="shared" si="1"/>
        <v>157.00230746268659</v>
      </c>
      <c r="I19" s="82">
        <f t="shared" si="2"/>
        <v>-2.5823940298507182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01">
        <v>1.1399999999999999</v>
      </c>
      <c r="F20" s="200">
        <v>1.33</v>
      </c>
      <c r="G20" s="80">
        <f t="shared" si="0"/>
        <v>13059.321778232581</v>
      </c>
      <c r="H20" s="81">
        <f t="shared" si="1"/>
        <v>12942.414140884208</v>
      </c>
      <c r="I20" s="82">
        <f t="shared" si="2"/>
        <v>-116.9076373483731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01">
        <v>3.21</v>
      </c>
      <c r="F21" s="200">
        <v>2.75</v>
      </c>
      <c r="G21" s="80">
        <f t="shared" si="0"/>
        <v>31539.122145543188</v>
      </c>
      <c r="H21" s="81">
        <f t="shared" si="1"/>
        <v>31223.98205458327</v>
      </c>
      <c r="I21" s="82">
        <f t="shared" si="2"/>
        <v>-315.14009095991787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01">
        <v>1.94</v>
      </c>
      <c r="F22" s="200">
        <v>2</v>
      </c>
      <c r="G22" s="80">
        <v>19921.439999999999</v>
      </c>
      <c r="H22" s="53">
        <v>20687.400000000001</v>
      </c>
      <c r="I22" s="82">
        <f t="shared" si="2"/>
        <v>765.96000000000276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201">
        <v>0.22</v>
      </c>
      <c r="F23" s="200">
        <v>0.21</v>
      </c>
      <c r="G23" s="80">
        <f t="shared" si="0"/>
        <v>2274.7777775004574</v>
      </c>
      <c r="H23" s="81">
        <f t="shared" ref="H23" si="3">($P$15/$P$16*E23)+($Q$15/$Q$16*F23)</f>
        <v>2252.8754848267026</v>
      </c>
      <c r="I23" s="82">
        <f t="shared" si="2"/>
        <v>-21.9022926737548</v>
      </c>
      <c r="J23" s="171"/>
      <c r="K23" s="171"/>
      <c r="N23" s="341"/>
      <c r="O23" s="341"/>
      <c r="P23" s="341"/>
      <c r="Q23" s="341"/>
    </row>
    <row r="24" spans="2:17" ht="48">
      <c r="B24" s="84" t="s">
        <v>306</v>
      </c>
      <c r="C24" s="76" t="s">
        <v>299</v>
      </c>
      <c r="D24" s="77" t="s">
        <v>300</v>
      </c>
      <c r="E24" s="201">
        <v>2.38</v>
      </c>
      <c r="F24" s="200">
        <v>3</v>
      </c>
      <c r="G24" s="80">
        <v>28618.86</v>
      </c>
      <c r="H24" s="130">
        <v>5279</v>
      </c>
      <c r="I24" s="82">
        <f t="shared" si="2"/>
        <v>-23339.86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01">
        <v>0.71</v>
      </c>
      <c r="F25" s="200">
        <v>1.3</v>
      </c>
      <c r="G25" s="80">
        <f t="shared" si="0"/>
        <v>10614.156775903093</v>
      </c>
      <c r="H25" s="81">
        <f t="shared" ref="H25:H27" si="4">($P$15/$P$16*E25)+($Q$15/$Q$16*F25)</f>
        <v>10534.686986761842</v>
      </c>
      <c r="I25" s="82">
        <f t="shared" si="2"/>
        <v>-79.469789141250658</v>
      </c>
      <c r="J25" s="171"/>
      <c r="K25" s="171"/>
      <c r="L25" s="198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201">
        <v>0.25</v>
      </c>
      <c r="F26" s="200">
        <v>0.83</v>
      </c>
      <c r="G26" s="80">
        <f t="shared" si="0"/>
        <v>5695.2376183463939</v>
      </c>
      <c r="H26" s="81">
        <f t="shared" si="4"/>
        <v>5661.9999002046616</v>
      </c>
      <c r="I26" s="82">
        <f t="shared" si="2"/>
        <v>-33.23771814173233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201">
        <v>0.06</v>
      </c>
      <c r="F27" s="200">
        <v>0.06</v>
      </c>
      <c r="G27" s="80">
        <f t="shared" si="0"/>
        <v>634.73796485798425</v>
      </c>
      <c r="H27" s="81">
        <f t="shared" si="4"/>
        <v>628.72610923975435</v>
      </c>
      <c r="I27" s="82">
        <f t="shared" si="2"/>
        <v>-6.0118556182299017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12.360000000000001</v>
      </c>
      <c r="F28" s="88">
        <f>SUM(F16:F27)</f>
        <v>13.970000000000002</v>
      </c>
      <c r="G28" s="173">
        <f>SUM(G16:G27)</f>
        <v>138486.5</v>
      </c>
      <c r="H28" s="174">
        <f>SUM(H16:H27)</f>
        <v>115093.88179999999</v>
      </c>
      <c r="I28" s="175">
        <f>H28-G28</f>
        <v>-23392.618200000012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196"/>
      <c r="K30" s="196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98"/>
      <c r="K31" s="198"/>
      <c r="L31" s="44"/>
      <c r="M31" s="20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138486.5</v>
      </c>
      <c r="E32" s="296"/>
      <c r="F32" s="295">
        <f>42768.7+47177.5+19921.44</f>
        <v>109867.64</v>
      </c>
      <c r="G32" s="296"/>
      <c r="H32" s="295">
        <f>G24</f>
        <v>28618.86</v>
      </c>
      <c r="I32" s="297"/>
      <c r="J32" s="199"/>
      <c r="K32" s="199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122344.84</v>
      </c>
      <c r="E33" s="296"/>
      <c r="F33" s="295">
        <f>37704.95+41591.75+17817.71</f>
        <v>97114.41</v>
      </c>
      <c r="G33" s="296"/>
      <c r="H33" s="295">
        <v>25230.43</v>
      </c>
      <c r="I33" s="297"/>
      <c r="J33" s="199"/>
      <c r="K33" s="199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115093.88179999999</v>
      </c>
      <c r="E34" s="315"/>
      <c r="F34" s="314">
        <f>H16+H17+H18+H19+H20+H21+H22+H23+H25+H26+H27</f>
        <v>109814.88179999999</v>
      </c>
      <c r="G34" s="315"/>
      <c r="H34" s="314">
        <f>H24</f>
        <v>5279</v>
      </c>
      <c r="I34" s="316"/>
      <c r="J34" s="199"/>
      <c r="K34" s="199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7250.9582000000155</v>
      </c>
      <c r="E35" s="318"/>
      <c r="F35" s="319">
        <f>F33-F34</f>
        <v>-12700.471799999985</v>
      </c>
      <c r="G35" s="320"/>
      <c r="H35" s="319">
        <f>H33-H34</f>
        <v>19951.43</v>
      </c>
      <c r="I35" s="321"/>
      <c r="J35" s="199"/>
      <c r="K35" s="199"/>
      <c r="L35" s="5"/>
      <c r="M35" s="5"/>
      <c r="N35" s="341"/>
      <c r="O35" s="341"/>
      <c r="P35" s="341"/>
      <c r="Q35" s="341"/>
    </row>
    <row r="36" spans="2:17" ht="34.5" customHeight="1">
      <c r="B36" s="194" t="s">
        <v>267</v>
      </c>
      <c r="C36" s="194"/>
      <c r="D36" s="131"/>
      <c r="E36" s="337" t="s">
        <v>325</v>
      </c>
      <c r="F36" s="322"/>
      <c r="G36" s="287" t="s">
        <v>11</v>
      </c>
      <c r="H36" s="287"/>
      <c r="I36" s="194"/>
      <c r="J36" s="194"/>
      <c r="K36" s="194"/>
      <c r="L36" s="6"/>
      <c r="M36" s="6"/>
      <c r="N36" s="344"/>
      <c r="O36" s="344"/>
      <c r="P36" s="344"/>
      <c r="Q36" s="344"/>
    </row>
    <row r="37" spans="2:17" ht="11.25" customHeight="1">
      <c r="B37" s="194"/>
      <c r="C37" s="194"/>
      <c r="D37" s="194"/>
      <c r="E37" s="285" t="s">
        <v>12</v>
      </c>
      <c r="F37" s="285"/>
      <c r="G37" s="288"/>
      <c r="H37" s="288"/>
      <c r="I37" s="195"/>
      <c r="J37" s="195"/>
      <c r="K37" s="195"/>
      <c r="L37" s="6"/>
      <c r="M37" s="6"/>
      <c r="N37" s="344"/>
      <c r="O37" s="344"/>
      <c r="P37" s="344"/>
      <c r="Q37" s="344"/>
    </row>
    <row r="38" spans="2:17">
      <c r="B38" s="194" t="s">
        <v>268</v>
      </c>
      <c r="C38" s="194"/>
      <c r="D38" s="194"/>
      <c r="E38" s="286" t="s">
        <v>10</v>
      </c>
      <c r="F38" s="286"/>
      <c r="G38" s="287" t="s">
        <v>312</v>
      </c>
      <c r="H38" s="287"/>
      <c r="I38" s="194"/>
      <c r="J38" s="194"/>
      <c r="K38" s="194"/>
      <c r="L38" s="6"/>
      <c r="M38" s="6"/>
      <c r="N38" s="344"/>
      <c r="O38" s="344"/>
      <c r="P38" s="344"/>
      <c r="Q38" s="344"/>
    </row>
    <row r="39" spans="2:17" ht="9.75" customHeight="1">
      <c r="B39" s="194"/>
      <c r="C39" s="194"/>
      <c r="D39" s="194"/>
      <c r="E39" s="285" t="s">
        <v>12</v>
      </c>
      <c r="F39" s="285"/>
      <c r="G39" s="287"/>
      <c r="H39" s="287"/>
      <c r="I39" s="194"/>
      <c r="J39" s="194"/>
      <c r="K39" s="194"/>
      <c r="N39" s="341"/>
      <c r="O39" s="341"/>
      <c r="P39" s="341"/>
      <c r="Q39" s="341"/>
    </row>
    <row r="40" spans="2:17">
      <c r="B40" s="194" t="s">
        <v>269</v>
      </c>
      <c r="C40" s="194"/>
      <c r="D40" s="194"/>
      <c r="E40" s="286" t="s">
        <v>10</v>
      </c>
      <c r="F40" s="286"/>
      <c r="G40" s="287" t="s">
        <v>313</v>
      </c>
      <c r="H40" s="287"/>
      <c r="I40" s="194"/>
      <c r="J40" s="194"/>
      <c r="K40" s="194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02"/>
      <c r="J41" s="202"/>
      <c r="K41" s="202"/>
      <c r="N41" s="341"/>
      <c r="O41" s="341"/>
      <c r="P41" s="341"/>
      <c r="Q41" s="341"/>
    </row>
    <row r="42" spans="2:17">
      <c r="B42" s="194" t="s">
        <v>270</v>
      </c>
      <c r="C42" s="194"/>
      <c r="D42" s="194"/>
      <c r="E42" s="286" t="s">
        <v>10</v>
      </c>
      <c r="F42" s="286"/>
      <c r="G42" s="287" t="s">
        <v>244</v>
      </c>
      <c r="H42" s="287"/>
    </row>
    <row r="43" spans="2:17" ht="9" customHeight="1">
      <c r="B43" s="39"/>
      <c r="C43" s="39"/>
      <c r="D43" s="39"/>
      <c r="E43" s="285" t="s">
        <v>12</v>
      </c>
      <c r="F43" s="285"/>
      <c r="G43" s="285"/>
      <c r="H43" s="285"/>
    </row>
    <row r="44" spans="2:17">
      <c r="C44" s="46"/>
      <c r="E44" s="197"/>
      <c r="F44" s="197"/>
    </row>
  </sheetData>
  <mergeCells count="42">
    <mergeCell ref="D12:E12"/>
    <mergeCell ref="D5:F5"/>
    <mergeCell ref="B13:I13"/>
    <mergeCell ref="G14:H14"/>
    <mergeCell ref="I14:I15"/>
    <mergeCell ref="B30:I30"/>
    <mergeCell ref="D31:E31"/>
    <mergeCell ref="F31:G31"/>
    <mergeCell ref="H31:I31"/>
    <mergeCell ref="B14:B15"/>
    <mergeCell ref="C14:C15"/>
    <mergeCell ref="D14:D15"/>
    <mergeCell ref="E14:E15"/>
    <mergeCell ref="F14:F15"/>
    <mergeCell ref="D32:E32"/>
    <mergeCell ref="F32:G32"/>
    <mergeCell ref="H32:I32"/>
    <mergeCell ref="D33:E33"/>
    <mergeCell ref="F33:G33"/>
    <mergeCell ref="H33:I33"/>
    <mergeCell ref="G38:H38"/>
    <mergeCell ref="D34:E34"/>
    <mergeCell ref="F34:G34"/>
    <mergeCell ref="H34:I34"/>
    <mergeCell ref="D35:E35"/>
    <mergeCell ref="F35:G35"/>
    <mergeCell ref="H35:I35"/>
    <mergeCell ref="E42:F42"/>
    <mergeCell ref="G42:H42"/>
    <mergeCell ref="E43:F43"/>
    <mergeCell ref="G43:H43"/>
    <mergeCell ref="B2:I3"/>
    <mergeCell ref="E39:F39"/>
    <mergeCell ref="G39:H39"/>
    <mergeCell ref="E40:F40"/>
    <mergeCell ref="G40:H40"/>
    <mergeCell ref="E41:F41"/>
    <mergeCell ref="E36:F36"/>
    <mergeCell ref="G36:H36"/>
    <mergeCell ref="E37:F37"/>
    <mergeCell ref="G37:H37"/>
    <mergeCell ref="E38:F38"/>
  </mergeCells>
  <printOptions horizontalCentered="1"/>
  <pageMargins left="0.19685039370078741" right="0.19685039370078741" top="0.15748031496062992" bottom="0.23622047244094491" header="0.16" footer="0.25"/>
  <pageSetup paperSize="9" scale="47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2.7109375" style="3" customWidth="1"/>
    <col min="4" max="4" width="8.85546875" style="3" customWidth="1"/>
    <col min="5" max="6" width="10.7109375" style="3" customWidth="1"/>
    <col min="7" max="7" width="10.42578125" style="1" customWidth="1"/>
    <col min="8" max="8" width="10.28515625" style="1" customWidth="1"/>
    <col min="9" max="9" width="11.5703125" style="1" customWidth="1"/>
    <col min="10" max="10" width="10.7109375" style="1" bestFit="1" customWidth="1"/>
    <col min="11" max="13" width="9.140625" style="1"/>
    <col min="14" max="14" width="13.42578125" style="339" customWidth="1"/>
    <col min="15" max="15" width="12.85546875" style="339" customWidth="1"/>
    <col min="16" max="16" width="13.42578125" style="339" customWidth="1"/>
    <col min="17" max="17" width="14.140625" style="339" customWidth="1"/>
    <col min="18" max="19" width="9.140625" style="339"/>
    <col min="20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0.2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286</v>
      </c>
      <c r="E5" s="299"/>
      <c r="F5" s="299"/>
    </row>
    <row r="6" spans="1:18">
      <c r="B6" s="1" t="s">
        <v>1</v>
      </c>
      <c r="D6" s="63">
        <v>1987</v>
      </c>
      <c r="E6" s="63"/>
      <c r="F6" s="63"/>
    </row>
    <row r="7" spans="1:18" hidden="1" outlineLevel="1">
      <c r="B7" s="1" t="s">
        <v>2</v>
      </c>
      <c r="D7" s="63">
        <v>2</v>
      </c>
      <c r="E7" s="63"/>
      <c r="F7" s="63"/>
    </row>
    <row r="8" spans="1:18" hidden="1" outlineLevel="1">
      <c r="B8" s="1" t="s">
        <v>3</v>
      </c>
      <c r="D8" s="63">
        <v>8</v>
      </c>
      <c r="E8" s="63"/>
      <c r="F8" s="63"/>
    </row>
    <row r="9" spans="1:18" ht="30.75" hidden="1" customHeight="1" outlineLevel="1">
      <c r="B9" s="2" t="s">
        <v>4</v>
      </c>
      <c r="C9" s="7"/>
      <c r="D9" s="63" t="s">
        <v>234</v>
      </c>
      <c r="E9" s="63"/>
      <c r="F9" s="63"/>
    </row>
    <row r="10" spans="1:18" collapsed="1">
      <c r="B10" s="1" t="s">
        <v>5</v>
      </c>
      <c r="D10" s="63" t="s">
        <v>287</v>
      </c>
      <c r="E10" s="63"/>
      <c r="F10" s="63"/>
      <c r="J10" s="10"/>
    </row>
    <row r="11" spans="1:18" hidden="1" outlineLevel="1">
      <c r="B11" s="1" t="s">
        <v>6</v>
      </c>
      <c r="D11" s="63" t="s">
        <v>16</v>
      </c>
      <c r="E11" s="63"/>
      <c r="F11" s="63"/>
    </row>
    <row r="12" spans="1:18" ht="30.75" hidden="1" customHeight="1" outlineLevel="1">
      <c r="B12" s="2" t="s">
        <v>7</v>
      </c>
      <c r="C12" s="7"/>
      <c r="D12" s="323" t="s">
        <v>235</v>
      </c>
      <c r="E12" s="323"/>
      <c r="F12" s="63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27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54.7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41242.5</v>
      </c>
      <c r="O15" s="341">
        <v>45493.97</v>
      </c>
      <c r="P15" s="341">
        <f>42869.56*0.95</f>
        <v>40726.081999999995</v>
      </c>
      <c r="Q15" s="341">
        <f>47937.54*0.95</f>
        <v>45540.663</v>
      </c>
      <c r="R15" s="339">
        <f>(N15+O15)/(P15+Q15)*100</f>
        <v>100.54450298315997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10506.341924574452</v>
      </c>
      <c r="H16" s="81">
        <f>($P$15/$P$16*E16)+($Q$15/$Q$16*F16)</f>
        <v>10446.934254887768</v>
      </c>
      <c r="I16" s="82">
        <f>H16-G16</f>
        <v>-59.407669686683221</v>
      </c>
      <c r="J16" s="171"/>
      <c r="K16" s="171"/>
      <c r="L16" s="12"/>
      <c r="M16" s="13"/>
      <c r="N16" s="342">
        <v>8.0399999999999991</v>
      </c>
      <c r="O16" s="341">
        <v>8.9700000000000006</v>
      </c>
      <c r="P16" s="342">
        <v>8.0399999999999991</v>
      </c>
      <c r="Q16" s="341">
        <v>8.9700000000000006</v>
      </c>
    </row>
    <row r="17" spans="2:17" ht="51">
      <c r="B17" s="102" t="s">
        <v>301</v>
      </c>
      <c r="C17" s="76" t="s">
        <v>299</v>
      </c>
      <c r="D17" s="77" t="s">
        <v>300</v>
      </c>
      <c r="E17" s="280">
        <v>1.1299999999999999</v>
      </c>
      <c r="F17" s="230">
        <v>1.17</v>
      </c>
      <c r="G17" s="80">
        <f t="shared" ref="G17:G27" si="0">($N$15/$N$16*E17)+($O$15/$O$16*F17)</f>
        <v>11730.516609344581</v>
      </c>
      <c r="H17" s="81">
        <f t="shared" ref="H17:H21" si="1">($P$15/$P$16*E17)+($Q$15/$Q$16*F17)</f>
        <v>11664.025863833009</v>
      </c>
      <c r="I17" s="82">
        <f t="shared" ref="I17:I27" si="2">H17-G17</f>
        <v>-66.490745511571731</v>
      </c>
      <c r="J17" s="171"/>
      <c r="K17" s="171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280">
        <v>0.28000000000000003</v>
      </c>
      <c r="F18" s="230">
        <v>0.27</v>
      </c>
      <c r="G18" s="80">
        <f t="shared" si="0"/>
        <v>2805.6896825238359</v>
      </c>
      <c r="H18" s="81">
        <f t="shared" si="1"/>
        <v>2789.1104509725619</v>
      </c>
      <c r="I18" s="82">
        <f t="shared" si="2"/>
        <v>-16.579231551274006</v>
      </c>
      <c r="J18" s="171"/>
      <c r="K18" s="171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280">
        <v>0.03</v>
      </c>
      <c r="F19" s="230">
        <v>0</v>
      </c>
      <c r="G19" s="80">
        <f t="shared" si="0"/>
        <v>153.88992537313436</v>
      </c>
      <c r="H19" s="81">
        <f t="shared" si="1"/>
        <v>151.96299253731343</v>
      </c>
      <c r="I19" s="82">
        <f t="shared" si="2"/>
        <v>-1.926932835820935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80">
        <v>1.1399999999999999</v>
      </c>
      <c r="F20" s="230">
        <v>1.33</v>
      </c>
      <c r="G20" s="80">
        <f t="shared" si="0"/>
        <v>12593.299895505748</v>
      </c>
      <c r="H20" s="81">
        <f t="shared" si="1"/>
        <v>12526.999713073428</v>
      </c>
      <c r="I20" s="82">
        <f t="shared" si="2"/>
        <v>-66.300182432320071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80">
        <v>3.21</v>
      </c>
      <c r="F21" s="230">
        <v>2.75</v>
      </c>
      <c r="G21" s="80">
        <f t="shared" si="0"/>
        <v>30413.648715036856</v>
      </c>
      <c r="H21" s="81">
        <f t="shared" si="1"/>
        <v>30221.781923900562</v>
      </c>
      <c r="I21" s="82">
        <f t="shared" si="2"/>
        <v>-191.86679113629361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80">
        <v>1.94</v>
      </c>
      <c r="F22" s="230">
        <v>2</v>
      </c>
      <c r="G22" s="80">
        <v>19515.12</v>
      </c>
      <c r="H22" s="53">
        <v>19812.63</v>
      </c>
      <c r="I22" s="82">
        <f t="shared" si="2"/>
        <v>297.51000000000204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280">
        <v>0.22</v>
      </c>
      <c r="F23" s="230">
        <v>0.21</v>
      </c>
      <c r="G23" s="80">
        <f t="shared" si="0"/>
        <v>2193.6023401387711</v>
      </c>
      <c r="H23" s="81">
        <f t="shared" ref="H23" si="3">($P$15/$P$16*E23)+($Q$15/$Q$16*F23)</f>
        <v>2180.5646464999418</v>
      </c>
      <c r="I23" s="82">
        <f t="shared" si="2"/>
        <v>-13.037693638829296</v>
      </c>
      <c r="J23" s="171"/>
      <c r="K23" s="171"/>
      <c r="N23" s="341"/>
      <c r="O23" s="341"/>
      <c r="P23" s="341"/>
      <c r="Q23" s="341"/>
    </row>
    <row r="24" spans="2:17" ht="48">
      <c r="B24" s="84" t="s">
        <v>306</v>
      </c>
      <c r="C24" s="76" t="s">
        <v>299</v>
      </c>
      <c r="D24" s="77" t="s">
        <v>300</v>
      </c>
      <c r="E24" s="280">
        <v>2.38</v>
      </c>
      <c r="F24" s="230">
        <v>3</v>
      </c>
      <c r="G24" s="80">
        <v>27597.59</v>
      </c>
      <c r="H24" s="130">
        <v>3881</v>
      </c>
      <c r="I24" s="82">
        <f t="shared" si="2"/>
        <v>-23716.59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80">
        <v>0.71</v>
      </c>
      <c r="F25" s="230">
        <v>1.3</v>
      </c>
      <c r="G25" s="80">
        <f t="shared" si="0"/>
        <v>10235.390552671424</v>
      </c>
      <c r="H25" s="81">
        <f t="shared" ref="H25:H27" si="4">($P$15/$P$16*E25)+($Q$15/$Q$16*F25)</f>
        <v>10196.553577006272</v>
      </c>
      <c r="I25" s="82">
        <f t="shared" si="2"/>
        <v>-38.83697566515184</v>
      </c>
      <c r="J25" s="171"/>
      <c r="K25" s="171"/>
      <c r="L25" s="279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280">
        <v>0.25</v>
      </c>
      <c r="F26" s="230">
        <v>0.83</v>
      </c>
      <c r="G26" s="80">
        <f t="shared" si="0"/>
        <v>5492.00301244613</v>
      </c>
      <c r="H26" s="81">
        <f t="shared" si="4"/>
        <v>5480.2657728165186</v>
      </c>
      <c r="I26" s="82">
        <f t="shared" si="2"/>
        <v>-11.737239629611395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280">
        <v>0.06</v>
      </c>
      <c r="F27" s="230">
        <v>0.06</v>
      </c>
      <c r="G27" s="80">
        <f t="shared" si="0"/>
        <v>612.08734238506463</v>
      </c>
      <c r="H27" s="81">
        <f t="shared" si="4"/>
        <v>608.54580447262015</v>
      </c>
      <c r="I27" s="82">
        <f t="shared" si="2"/>
        <v>-3.5415379124444826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12.360000000000001</v>
      </c>
      <c r="F28" s="88">
        <f>SUM(F16:F27)</f>
        <v>13.970000000000002</v>
      </c>
      <c r="G28" s="173">
        <f>SUM(G16:G27)</f>
        <v>133849.17999999996</v>
      </c>
      <c r="H28" s="174">
        <f>SUM(H16:H27)</f>
        <v>109960.375</v>
      </c>
      <c r="I28" s="175">
        <f>H28-G28</f>
        <v>-23888.804999999964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76"/>
      <c r="K30" s="276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79"/>
      <c r="K31" s="279"/>
      <c r="L31" s="44"/>
      <c r="M31" s="28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133849.18</v>
      </c>
      <c r="E32" s="296"/>
      <c r="F32" s="295">
        <f>41242.5+45493.97+19515.12</f>
        <v>106251.59</v>
      </c>
      <c r="G32" s="296"/>
      <c r="H32" s="295">
        <f>G24</f>
        <v>27597.59</v>
      </c>
      <c r="I32" s="297"/>
      <c r="J32" s="278"/>
      <c r="K32" s="278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134774.91</v>
      </c>
      <c r="E33" s="296"/>
      <c r="F33" s="295">
        <f>41665.24+45960.29+19268.91</f>
        <v>106894.44</v>
      </c>
      <c r="G33" s="296"/>
      <c r="H33" s="295">
        <v>27880.47</v>
      </c>
      <c r="I33" s="297"/>
      <c r="J33" s="278"/>
      <c r="K33" s="278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109960.375</v>
      </c>
      <c r="E34" s="315"/>
      <c r="F34" s="314">
        <f>H16+H17+H18+H19+H20+H21+H22+H23+H25+H26+H27</f>
        <v>106079.375</v>
      </c>
      <c r="G34" s="315"/>
      <c r="H34" s="314">
        <f>H24</f>
        <v>3881</v>
      </c>
      <c r="I34" s="316"/>
      <c r="J34" s="278"/>
      <c r="K34" s="278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24814.535000000003</v>
      </c>
      <c r="E35" s="318"/>
      <c r="F35" s="319">
        <f>F33-F34</f>
        <v>815.06500000000233</v>
      </c>
      <c r="G35" s="320"/>
      <c r="H35" s="319">
        <f>H33-H34</f>
        <v>23999.47</v>
      </c>
      <c r="I35" s="321"/>
      <c r="J35" s="278"/>
      <c r="K35" s="278"/>
      <c r="L35" s="5"/>
      <c r="M35" s="5"/>
      <c r="N35" s="341"/>
      <c r="O35" s="341"/>
      <c r="P35" s="341"/>
      <c r="Q35" s="341"/>
    </row>
    <row r="36" spans="2:17" ht="34.5" customHeight="1">
      <c r="B36" s="275" t="s">
        <v>267</v>
      </c>
      <c r="C36" s="275"/>
      <c r="D36" s="131"/>
      <c r="E36" s="337" t="s">
        <v>325</v>
      </c>
      <c r="F36" s="322"/>
      <c r="G36" s="287" t="s">
        <v>11</v>
      </c>
      <c r="H36" s="287"/>
      <c r="I36" s="275"/>
      <c r="J36" s="275"/>
      <c r="K36" s="275"/>
      <c r="L36" s="6"/>
      <c r="M36" s="6"/>
      <c r="N36" s="344"/>
      <c r="O36" s="344"/>
      <c r="P36" s="344"/>
      <c r="Q36" s="344"/>
    </row>
    <row r="37" spans="2:17" ht="11.25" customHeight="1">
      <c r="B37" s="275"/>
      <c r="C37" s="275"/>
      <c r="D37" s="275"/>
      <c r="E37" s="285" t="s">
        <v>12</v>
      </c>
      <c r="F37" s="285"/>
      <c r="G37" s="288"/>
      <c r="H37" s="288"/>
      <c r="I37" s="277"/>
      <c r="J37" s="277"/>
      <c r="K37" s="277"/>
      <c r="L37" s="6"/>
      <c r="M37" s="6"/>
      <c r="N37" s="344"/>
      <c r="O37" s="344"/>
      <c r="P37" s="344"/>
      <c r="Q37" s="344"/>
    </row>
    <row r="38" spans="2:17">
      <c r="B38" s="275" t="s">
        <v>268</v>
      </c>
      <c r="C38" s="275"/>
      <c r="D38" s="275"/>
      <c r="E38" s="286" t="s">
        <v>10</v>
      </c>
      <c r="F38" s="286"/>
      <c r="G38" s="287" t="s">
        <v>312</v>
      </c>
      <c r="H38" s="287"/>
      <c r="I38" s="275"/>
      <c r="J38" s="275"/>
      <c r="K38" s="275"/>
      <c r="L38" s="6"/>
      <c r="M38" s="6"/>
      <c r="N38" s="344"/>
      <c r="O38" s="344"/>
      <c r="P38" s="344"/>
      <c r="Q38" s="344"/>
    </row>
    <row r="39" spans="2:17" ht="9.75" customHeight="1">
      <c r="B39" s="275"/>
      <c r="C39" s="275"/>
      <c r="D39" s="275"/>
      <c r="E39" s="285" t="s">
        <v>12</v>
      </c>
      <c r="F39" s="285"/>
      <c r="G39" s="287"/>
      <c r="H39" s="287"/>
      <c r="I39" s="275"/>
      <c r="J39" s="275"/>
      <c r="K39" s="275"/>
      <c r="N39" s="341"/>
      <c r="O39" s="341"/>
      <c r="P39" s="341"/>
      <c r="Q39" s="341"/>
    </row>
    <row r="40" spans="2:17">
      <c r="B40" s="275" t="s">
        <v>269</v>
      </c>
      <c r="C40" s="275"/>
      <c r="D40" s="275"/>
      <c r="E40" s="286" t="s">
        <v>10</v>
      </c>
      <c r="F40" s="286"/>
      <c r="G40" s="287" t="s">
        <v>313</v>
      </c>
      <c r="H40" s="287"/>
      <c r="I40" s="275"/>
      <c r="J40" s="275"/>
      <c r="K40" s="27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82"/>
      <c r="J41" s="282"/>
      <c r="K41" s="282"/>
      <c r="N41" s="341"/>
      <c r="O41" s="341"/>
      <c r="P41" s="341"/>
      <c r="Q41" s="341"/>
    </row>
    <row r="42" spans="2:17">
      <c r="B42" s="275" t="s">
        <v>270</v>
      </c>
      <c r="C42" s="275"/>
      <c r="D42" s="275"/>
      <c r="E42" s="286" t="s">
        <v>10</v>
      </c>
      <c r="F42" s="286"/>
      <c r="G42" s="287" t="s">
        <v>244</v>
      </c>
      <c r="H42" s="287"/>
    </row>
    <row r="43" spans="2:17" ht="9" customHeight="1">
      <c r="B43" s="39"/>
      <c r="C43" s="39"/>
      <c r="D43" s="39"/>
      <c r="E43" s="285" t="s">
        <v>12</v>
      </c>
      <c r="F43" s="285"/>
      <c r="G43" s="285"/>
      <c r="H43" s="285"/>
    </row>
    <row r="44" spans="2:17">
      <c r="C44" s="46"/>
      <c r="E44" s="281"/>
      <c r="F44" s="281"/>
    </row>
  </sheetData>
  <mergeCells count="42">
    <mergeCell ref="E41:F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E36:F36"/>
    <mergeCell ref="G36:H36"/>
    <mergeCell ref="E37:F37"/>
    <mergeCell ref="G37:H37"/>
    <mergeCell ref="D35:E35"/>
    <mergeCell ref="F35:G35"/>
    <mergeCell ref="D34:E34"/>
    <mergeCell ref="F34:G34"/>
    <mergeCell ref="H34:I34"/>
    <mergeCell ref="H35:I35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</mergeCells>
  <pageMargins left="0.35" right="0.2" top="0.35" bottom="0.24" header="0.31496062992125984" footer="0.31496062992125984"/>
  <pageSetup paperSize="9" scale="41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3" style="1" customWidth="1"/>
    <col min="3" max="3" width="11.85546875" style="3" customWidth="1"/>
    <col min="4" max="4" width="9" style="3" customWidth="1"/>
    <col min="5" max="5" width="11.140625" style="3" customWidth="1"/>
    <col min="6" max="6" width="10.7109375" style="3" customWidth="1"/>
    <col min="7" max="7" width="9.42578125" style="1" customWidth="1"/>
    <col min="8" max="8" width="10.28515625" style="1" customWidth="1"/>
    <col min="9" max="9" width="11.5703125" style="1" customWidth="1"/>
    <col min="10" max="10" width="10.7109375" style="1" bestFit="1" customWidth="1"/>
    <col min="11" max="13" width="9.140625" style="1"/>
    <col min="14" max="14" width="13.7109375" style="339" customWidth="1"/>
    <col min="15" max="15" width="13.140625" style="339" customWidth="1"/>
    <col min="16" max="16" width="13" style="339" customWidth="1"/>
    <col min="17" max="17" width="15.855468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0.2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2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233</v>
      </c>
      <c r="E5" s="299"/>
      <c r="F5" s="299"/>
    </row>
    <row r="6" spans="1:18">
      <c r="B6" s="1" t="s">
        <v>1</v>
      </c>
      <c r="D6" s="63">
        <v>1961</v>
      </c>
      <c r="E6" s="63"/>
      <c r="F6" s="63"/>
    </row>
    <row r="7" spans="1:18" hidden="1" outlineLevel="1">
      <c r="B7" s="1" t="s">
        <v>2</v>
      </c>
      <c r="D7" s="63">
        <v>2</v>
      </c>
      <c r="E7" s="63"/>
      <c r="F7" s="63"/>
    </row>
    <row r="8" spans="1:18" hidden="1" outlineLevel="1">
      <c r="B8" s="1" t="s">
        <v>3</v>
      </c>
      <c r="D8" s="63">
        <v>8</v>
      </c>
      <c r="E8" s="63"/>
      <c r="F8" s="63"/>
    </row>
    <row r="9" spans="1:18" ht="30.75" hidden="1" customHeight="1" outlineLevel="1">
      <c r="B9" s="2" t="s">
        <v>4</v>
      </c>
      <c r="C9" s="7"/>
      <c r="D9" s="63" t="s">
        <v>234</v>
      </c>
      <c r="E9" s="63"/>
      <c r="F9" s="63"/>
    </row>
    <row r="10" spans="1:18" collapsed="1">
      <c r="B10" s="1" t="s">
        <v>5</v>
      </c>
      <c r="D10" s="63" t="s">
        <v>252</v>
      </c>
      <c r="E10" s="63"/>
      <c r="F10" s="63"/>
      <c r="J10" s="10"/>
    </row>
    <row r="11" spans="1:18" hidden="1" outlineLevel="1">
      <c r="B11" s="1" t="s">
        <v>6</v>
      </c>
      <c r="D11" s="63" t="s">
        <v>16</v>
      </c>
      <c r="E11" s="63"/>
      <c r="F11" s="63"/>
    </row>
    <row r="12" spans="1:18" ht="30.75" hidden="1" customHeight="1" outlineLevel="1">
      <c r="B12" s="2" t="s">
        <v>7</v>
      </c>
      <c r="C12" s="7"/>
      <c r="D12" s="323" t="s">
        <v>235</v>
      </c>
      <c r="E12" s="323"/>
      <c r="F12" s="63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27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54.7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16731.09</v>
      </c>
      <c r="O15" s="341">
        <v>18195.23</v>
      </c>
      <c r="P15" s="341">
        <f>18501.71*0.89</f>
        <v>16466.5219</v>
      </c>
      <c r="Q15" s="341">
        <f>20688.95*0.89</f>
        <v>18413.165499999999</v>
      </c>
      <c r="R15" s="339">
        <f>(N15+O15)/(P15+Q15)*100</f>
        <v>100.13369557893459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0</v>
      </c>
      <c r="F16" s="79">
        <v>0</v>
      </c>
      <c r="G16" s="80">
        <f>($N$15/$N$16*E16)+($O$15/$O$16*F16)</f>
        <v>0</v>
      </c>
      <c r="H16" s="81">
        <f>($P$15/$P$16*E16)+($Q$15/$Q$16*F16)</f>
        <v>0</v>
      </c>
      <c r="I16" s="82">
        <f>H16-G16</f>
        <v>0</v>
      </c>
      <c r="J16" s="171"/>
      <c r="K16" s="171"/>
      <c r="L16" s="12"/>
      <c r="M16" s="13"/>
      <c r="N16" s="342">
        <v>7.35</v>
      </c>
      <c r="O16" s="341">
        <v>8.09</v>
      </c>
      <c r="P16" s="342">
        <v>7.35</v>
      </c>
      <c r="Q16" s="341">
        <v>8.09</v>
      </c>
    </row>
    <row r="17" spans="2:17" ht="51">
      <c r="B17" s="102" t="s">
        <v>301</v>
      </c>
      <c r="C17" s="76" t="s">
        <v>299</v>
      </c>
      <c r="D17" s="77" t="s">
        <v>300</v>
      </c>
      <c r="E17" s="280">
        <v>0</v>
      </c>
      <c r="F17" s="230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280">
        <v>0.28000000000000003</v>
      </c>
      <c r="F18" s="230">
        <v>0.27</v>
      </c>
      <c r="G18" s="80">
        <f t="shared" si="0"/>
        <v>1244.6322242627584</v>
      </c>
      <c r="H18" s="81">
        <f t="shared" si="1"/>
        <v>1241.8269357925717</v>
      </c>
      <c r="I18" s="82">
        <f t="shared" si="2"/>
        <v>-2.8052884701867242</v>
      </c>
      <c r="J18" s="171"/>
      <c r="K18" s="171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280">
        <v>0.25</v>
      </c>
      <c r="F19" s="230">
        <v>0.02</v>
      </c>
      <c r="G19" s="80">
        <f t="shared" si="0"/>
        <v>614.06672107161785</v>
      </c>
      <c r="H19" s="81">
        <f t="shared" si="1"/>
        <v>605.60658360872162</v>
      </c>
      <c r="I19" s="82">
        <f t="shared" si="2"/>
        <v>-8.4601374628962276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80">
        <v>1.1399999999999999</v>
      </c>
      <c r="F20" s="230">
        <v>1.33</v>
      </c>
      <c r="G20" s="80">
        <f t="shared" si="0"/>
        <v>5586.3310124870713</v>
      </c>
      <c r="H20" s="81">
        <f t="shared" si="1"/>
        <v>5581.1246641976741</v>
      </c>
      <c r="I20" s="82">
        <f t="shared" si="2"/>
        <v>-5.2063482893972832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80">
        <v>3.67</v>
      </c>
      <c r="F21" s="230">
        <v>3.33</v>
      </c>
      <c r="G21" s="80">
        <f t="shared" si="0"/>
        <v>15843.670833934564</v>
      </c>
      <c r="H21" s="81">
        <f t="shared" si="1"/>
        <v>15801.273216498405</v>
      </c>
      <c r="I21" s="82">
        <f t="shared" si="2"/>
        <v>-42.397617436159635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80">
        <v>1.94</v>
      </c>
      <c r="F22" s="230">
        <v>2</v>
      </c>
      <c r="G22" s="80">
        <v>8422.32</v>
      </c>
      <c r="H22" s="53">
        <v>8550.76</v>
      </c>
      <c r="I22" s="82">
        <f t="shared" si="2"/>
        <v>128.44000000000051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280">
        <v>0.22</v>
      </c>
      <c r="F23" s="230">
        <v>0.21</v>
      </c>
      <c r="G23" s="80">
        <f t="shared" si="0"/>
        <v>973.10581614994589</v>
      </c>
      <c r="H23" s="81">
        <f t="shared" ref="H23" si="3">($P$15/$P$16*E23)+($Q$15/$Q$16*F23)</f>
        <v>970.84393476232515</v>
      </c>
      <c r="I23" s="82">
        <f t="shared" si="2"/>
        <v>-2.2618813876207469</v>
      </c>
      <c r="J23" s="171"/>
      <c r="K23" s="171"/>
      <c r="N23" s="341"/>
      <c r="O23" s="341"/>
      <c r="P23" s="341"/>
      <c r="Q23" s="341"/>
    </row>
    <row r="24" spans="2:17" ht="48">
      <c r="B24" s="84" t="s">
        <v>306</v>
      </c>
      <c r="C24" s="76" t="s">
        <v>299</v>
      </c>
      <c r="D24" s="77" t="s">
        <v>300</v>
      </c>
      <c r="E24" s="280">
        <v>0.75</v>
      </c>
      <c r="F24" s="230">
        <v>3</v>
      </c>
      <c r="G24" s="80">
        <v>8536.27</v>
      </c>
      <c r="H24" s="130">
        <v>0</v>
      </c>
      <c r="I24" s="82">
        <f t="shared" si="2"/>
        <v>-8536.27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80">
        <v>0.71</v>
      </c>
      <c r="F25" s="230">
        <v>1.44</v>
      </c>
      <c r="G25" s="80">
        <f t="shared" si="0"/>
        <v>4854.9064885850512</v>
      </c>
      <c r="H25" s="81">
        <f t="shared" ref="H25:H27" si="4">($P$15/$P$16*E25)+($Q$15/$Q$16*F25)</f>
        <v>4868.1415503041462</v>
      </c>
      <c r="I25" s="82">
        <f t="shared" si="2"/>
        <v>13.235061719095029</v>
      </c>
      <c r="J25" s="171"/>
      <c r="K25" s="171"/>
      <c r="L25" s="279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280">
        <v>0.25</v>
      </c>
      <c r="F26" s="230">
        <v>0.83</v>
      </c>
      <c r="G26" s="80">
        <f t="shared" si="0"/>
        <v>2435.8388224313212</v>
      </c>
      <c r="H26" s="81">
        <f t="shared" si="4"/>
        <v>2449.199173843579</v>
      </c>
      <c r="I26" s="82">
        <f t="shared" si="2"/>
        <v>13.360351412257842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280">
        <v>0.83</v>
      </c>
      <c r="F27" s="230">
        <v>0.66</v>
      </c>
      <c r="G27" s="80">
        <f t="shared" si="0"/>
        <v>3373.7680810776724</v>
      </c>
      <c r="H27" s="81">
        <f t="shared" si="4"/>
        <v>3361.6713409925751</v>
      </c>
      <c r="I27" s="82">
        <f t="shared" si="2"/>
        <v>-12.096740085097281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10.040000000000001</v>
      </c>
      <c r="F28" s="88">
        <f>SUM(F16:F27)</f>
        <v>13.09</v>
      </c>
      <c r="G28" s="173">
        <f>SUM(G16:G27)</f>
        <v>51884.910000000011</v>
      </c>
      <c r="H28" s="174">
        <f>SUM(H16:H27)</f>
        <v>43430.44739999999</v>
      </c>
      <c r="I28" s="175">
        <f>H28-G28</f>
        <v>-8454.4626000000208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76"/>
      <c r="K30" s="276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79"/>
      <c r="K31" s="279"/>
      <c r="L31" s="44"/>
      <c r="M31" s="28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51884.91</v>
      </c>
      <c r="E32" s="296"/>
      <c r="F32" s="295">
        <f>16731.09+18195.23+8422.32</f>
        <v>43348.639999999999</v>
      </c>
      <c r="G32" s="296"/>
      <c r="H32" s="295">
        <f>G24</f>
        <v>8536.27</v>
      </c>
      <c r="I32" s="297"/>
      <c r="J32" s="278"/>
      <c r="K32" s="278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48665.2</v>
      </c>
      <c r="E33" s="296"/>
      <c r="F33" s="295">
        <f>15747.67+17125.75+7757.25</f>
        <v>40630.67</v>
      </c>
      <c r="G33" s="296"/>
      <c r="H33" s="295">
        <v>8034.53</v>
      </c>
      <c r="I33" s="297"/>
      <c r="J33" s="278"/>
      <c r="K33" s="278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43430.44739999999</v>
      </c>
      <c r="E34" s="315"/>
      <c r="F34" s="314">
        <f>H16+H17+H18+H19+H20+H21+H22+H23+H25+H26+H27</f>
        <v>43430.44739999999</v>
      </c>
      <c r="G34" s="315"/>
      <c r="H34" s="314">
        <f>H24</f>
        <v>0</v>
      </c>
      <c r="I34" s="316"/>
      <c r="J34" s="278"/>
      <c r="K34" s="278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5234.752600000008</v>
      </c>
      <c r="E35" s="318"/>
      <c r="F35" s="319">
        <f>F33-F34</f>
        <v>-2799.7773999999918</v>
      </c>
      <c r="G35" s="320"/>
      <c r="H35" s="319">
        <f>H33-H34</f>
        <v>8034.53</v>
      </c>
      <c r="I35" s="321"/>
      <c r="J35" s="278"/>
      <c r="K35" s="278"/>
      <c r="L35" s="5"/>
      <c r="M35" s="5"/>
      <c r="N35" s="341"/>
      <c r="O35" s="341"/>
      <c r="P35" s="341"/>
      <c r="Q35" s="341"/>
    </row>
    <row r="36" spans="2:17" ht="34.5" customHeight="1">
      <c r="B36" s="275" t="s">
        <v>267</v>
      </c>
      <c r="C36" s="275"/>
      <c r="D36" s="131"/>
      <c r="E36" s="337" t="s">
        <v>325</v>
      </c>
      <c r="F36" s="322"/>
      <c r="G36" s="287" t="s">
        <v>11</v>
      </c>
      <c r="H36" s="287"/>
      <c r="I36" s="275"/>
      <c r="J36" s="275"/>
      <c r="K36" s="275"/>
      <c r="L36" s="6"/>
      <c r="M36" s="6"/>
      <c r="N36" s="344"/>
      <c r="O36" s="344"/>
      <c r="P36" s="344"/>
      <c r="Q36" s="344"/>
    </row>
    <row r="37" spans="2:17" ht="11.25" customHeight="1">
      <c r="B37" s="275"/>
      <c r="C37" s="275"/>
      <c r="D37" s="275"/>
      <c r="E37" s="285" t="s">
        <v>12</v>
      </c>
      <c r="F37" s="285"/>
      <c r="G37" s="288"/>
      <c r="H37" s="288"/>
      <c r="I37" s="277"/>
      <c r="J37" s="277"/>
      <c r="K37" s="277"/>
      <c r="L37" s="6"/>
      <c r="M37" s="6"/>
      <c r="N37" s="344"/>
      <c r="O37" s="344"/>
      <c r="P37" s="344"/>
      <c r="Q37" s="344"/>
    </row>
    <row r="38" spans="2:17">
      <c r="B38" s="275" t="s">
        <v>268</v>
      </c>
      <c r="C38" s="275"/>
      <c r="D38" s="275"/>
      <c r="E38" s="286" t="s">
        <v>10</v>
      </c>
      <c r="F38" s="286"/>
      <c r="G38" s="287" t="s">
        <v>312</v>
      </c>
      <c r="H38" s="287"/>
      <c r="I38" s="275"/>
      <c r="J38" s="275"/>
      <c r="K38" s="275"/>
      <c r="L38" s="6"/>
      <c r="M38" s="6"/>
      <c r="N38" s="344"/>
      <c r="O38" s="344"/>
      <c r="P38" s="344"/>
      <c r="Q38" s="344"/>
    </row>
    <row r="39" spans="2:17" ht="9.75" customHeight="1">
      <c r="B39" s="275"/>
      <c r="C39" s="275"/>
      <c r="D39" s="275"/>
      <c r="E39" s="285" t="s">
        <v>12</v>
      </c>
      <c r="F39" s="285"/>
      <c r="G39" s="287"/>
      <c r="H39" s="287"/>
      <c r="I39" s="275"/>
      <c r="J39" s="275"/>
      <c r="K39" s="275"/>
      <c r="N39" s="341"/>
      <c r="O39" s="341"/>
      <c r="P39" s="341"/>
      <c r="Q39" s="341"/>
    </row>
    <row r="40" spans="2:17">
      <c r="B40" s="275" t="s">
        <v>269</v>
      </c>
      <c r="C40" s="275"/>
      <c r="D40" s="275"/>
      <c r="E40" s="286" t="s">
        <v>10</v>
      </c>
      <c r="F40" s="286"/>
      <c r="G40" s="287" t="s">
        <v>313</v>
      </c>
      <c r="H40" s="287"/>
      <c r="I40" s="275"/>
      <c r="J40" s="275"/>
      <c r="K40" s="27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82"/>
      <c r="J41" s="282"/>
      <c r="K41" s="282"/>
      <c r="N41" s="341"/>
      <c r="O41" s="341"/>
      <c r="P41" s="341"/>
      <c r="Q41" s="341"/>
    </row>
    <row r="42" spans="2:17">
      <c r="B42" s="275" t="s">
        <v>270</v>
      </c>
      <c r="C42" s="275"/>
      <c r="D42" s="275"/>
      <c r="E42" s="286" t="s">
        <v>10</v>
      </c>
      <c r="F42" s="286"/>
      <c r="G42" s="287" t="s">
        <v>244</v>
      </c>
      <c r="H42" s="287"/>
    </row>
    <row r="43" spans="2:17" ht="9" customHeight="1">
      <c r="B43" s="39"/>
      <c r="C43" s="39"/>
      <c r="D43" s="39"/>
      <c r="E43" s="285" t="s">
        <v>12</v>
      </c>
      <c r="F43" s="285"/>
      <c r="G43" s="285"/>
      <c r="H43" s="285"/>
    </row>
    <row r="44" spans="2:17">
      <c r="C44" s="46"/>
      <c r="E44" s="281"/>
      <c r="F44" s="281"/>
    </row>
  </sheetData>
  <mergeCells count="42">
    <mergeCell ref="E38:F38"/>
    <mergeCell ref="G38:H38"/>
    <mergeCell ref="E39:F39"/>
    <mergeCell ref="G39:H39"/>
    <mergeCell ref="E36:F36"/>
    <mergeCell ref="G36:H36"/>
    <mergeCell ref="E37:F37"/>
    <mergeCell ref="G37:H37"/>
    <mergeCell ref="E43:F43"/>
    <mergeCell ref="G43:H43"/>
    <mergeCell ref="E40:F40"/>
    <mergeCell ref="G40:H40"/>
    <mergeCell ref="E41:F41"/>
    <mergeCell ref="E42:F42"/>
    <mergeCell ref="G42:H4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  <mergeCell ref="D33:E33"/>
    <mergeCell ref="F33:G33"/>
    <mergeCell ref="H33:I33"/>
    <mergeCell ref="H34:I34"/>
    <mergeCell ref="H35:I35"/>
    <mergeCell ref="D34:E34"/>
    <mergeCell ref="F34:G34"/>
    <mergeCell ref="D35:E35"/>
    <mergeCell ref="F35:G35"/>
    <mergeCell ref="B30:I30"/>
    <mergeCell ref="D31:E31"/>
    <mergeCell ref="F31:G31"/>
    <mergeCell ref="H31:I31"/>
    <mergeCell ref="D32:E32"/>
    <mergeCell ref="F32:G32"/>
    <mergeCell ref="H32:I3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2.42578125" style="1" customWidth="1"/>
    <col min="3" max="3" width="12.7109375" style="3" customWidth="1"/>
    <col min="4" max="4" width="9.140625" style="3" customWidth="1"/>
    <col min="5" max="5" width="10.140625" style="3" customWidth="1"/>
    <col min="6" max="6" width="10.28515625" style="3" customWidth="1"/>
    <col min="7" max="7" width="9.5703125" style="1" customWidth="1"/>
    <col min="8" max="8" width="10.28515625" style="1" customWidth="1"/>
    <col min="9" max="9" width="11" style="1" customWidth="1"/>
    <col min="10" max="10" width="10.7109375" style="1" bestFit="1" customWidth="1"/>
    <col min="11" max="13" width="9.140625" style="1"/>
    <col min="14" max="14" width="12.5703125" style="339" customWidth="1"/>
    <col min="15" max="15" width="14.28515625" style="339" customWidth="1"/>
    <col min="16" max="16" width="13.28515625" style="339" customWidth="1"/>
    <col min="17" max="17" width="12.2851562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.75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3.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236</v>
      </c>
      <c r="E5" s="299"/>
      <c r="F5" s="299"/>
    </row>
    <row r="6" spans="1:18">
      <c r="B6" s="1" t="s">
        <v>1</v>
      </c>
      <c r="D6" s="29">
        <v>1960</v>
      </c>
      <c r="E6" s="29"/>
      <c r="F6" s="29"/>
    </row>
    <row r="7" spans="1:18" hidden="1" outlineLevel="1">
      <c r="B7" s="1" t="s">
        <v>2</v>
      </c>
      <c r="D7" s="29">
        <v>2</v>
      </c>
      <c r="E7" s="29"/>
      <c r="F7" s="29"/>
    </row>
    <row r="8" spans="1:18" hidden="1" outlineLevel="1">
      <c r="B8" s="1" t="s">
        <v>3</v>
      </c>
      <c r="D8" s="29">
        <v>8</v>
      </c>
      <c r="E8" s="29"/>
      <c r="F8" s="29"/>
    </row>
    <row r="9" spans="1:18" ht="30.75" hidden="1" customHeight="1" outlineLevel="1">
      <c r="B9" s="2" t="s">
        <v>4</v>
      </c>
      <c r="C9" s="7"/>
      <c r="D9" s="29" t="s">
        <v>237</v>
      </c>
      <c r="E9" s="29"/>
      <c r="F9" s="29"/>
    </row>
    <row r="10" spans="1:18" collapsed="1">
      <c r="B10" s="1" t="s">
        <v>5</v>
      </c>
      <c r="D10" s="36" t="s">
        <v>251</v>
      </c>
      <c r="E10" s="29"/>
      <c r="F10" s="29"/>
      <c r="J10" s="10"/>
    </row>
    <row r="11" spans="1:18" hidden="1" outlineLevel="1">
      <c r="B11" s="1" t="s">
        <v>6</v>
      </c>
      <c r="D11" s="29" t="s">
        <v>16</v>
      </c>
      <c r="E11" s="29"/>
      <c r="F11" s="29"/>
    </row>
    <row r="12" spans="1:18" ht="30.75" hidden="1" customHeight="1" outlineLevel="1">
      <c r="B12" s="2" t="s">
        <v>7</v>
      </c>
      <c r="C12" s="7"/>
      <c r="D12" s="323" t="s">
        <v>238</v>
      </c>
      <c r="E12" s="323"/>
      <c r="F12" s="29"/>
      <c r="J12" s="10"/>
    </row>
    <row r="13" spans="1:18" ht="31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27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54.7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14583.88</v>
      </c>
      <c r="O15" s="341">
        <v>15739.83</v>
      </c>
      <c r="P15" s="341">
        <f>18516.93*0.77</f>
        <v>14258.036100000001</v>
      </c>
      <c r="Q15" s="341">
        <f>20705.98*0.77</f>
        <v>15943.604600000001</v>
      </c>
      <c r="R15" s="339">
        <f>(N15+O15)/(P15+Q15)*100</f>
        <v>100.40418102186082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0</v>
      </c>
      <c r="F16" s="79">
        <v>0</v>
      </c>
      <c r="G16" s="80">
        <f>($N$15/$N$16*E16)+($O$15/$O$16*F16)</f>
        <v>0</v>
      </c>
      <c r="H16" s="81">
        <f>($P$15/$P$16*E16)+($Q$15/$Q$16*F16)</f>
        <v>0</v>
      </c>
      <c r="I16" s="82">
        <f>H16-G16</f>
        <v>0</v>
      </c>
      <c r="J16" s="171"/>
      <c r="K16" s="171"/>
      <c r="L16" s="12"/>
      <c r="M16" s="13"/>
      <c r="N16" s="342">
        <v>6.51</v>
      </c>
      <c r="O16" s="341">
        <v>7.13</v>
      </c>
      <c r="P16" s="342">
        <v>6.51</v>
      </c>
      <c r="Q16" s="341">
        <v>7.13</v>
      </c>
    </row>
    <row r="17" spans="2:17" ht="51">
      <c r="B17" s="102" t="s">
        <v>301</v>
      </c>
      <c r="C17" s="76" t="s">
        <v>299</v>
      </c>
      <c r="D17" s="77" t="s">
        <v>300</v>
      </c>
      <c r="E17" s="280">
        <v>0</v>
      </c>
      <c r="F17" s="230">
        <v>0</v>
      </c>
      <c r="G17" s="80">
        <f t="shared" ref="G17:G27" si="0">($N$15/$N$16*E17)+($O$15/$O$16*F17)</f>
        <v>0</v>
      </c>
      <c r="H17" s="81">
        <f t="shared" ref="H17:H21" si="1">($P$15/$P$16*E17)+($Q$15/$Q$16*F17)</f>
        <v>0</v>
      </c>
      <c r="I17" s="82">
        <f t="shared" ref="I17:I27" si="2">H17-G17</f>
        <v>0</v>
      </c>
      <c r="J17" s="171"/>
      <c r="K17" s="171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280">
        <v>0.28000000000000003</v>
      </c>
      <c r="F18" s="230">
        <v>0.27</v>
      </c>
      <c r="G18" s="80">
        <f t="shared" si="0"/>
        <v>1223.3020991117346</v>
      </c>
      <c r="H18" s="81">
        <f t="shared" si="1"/>
        <v>1217.0038774193549</v>
      </c>
      <c r="I18" s="82">
        <f t="shared" si="2"/>
        <v>-6.2982216923796841</v>
      </c>
      <c r="J18" s="171"/>
      <c r="K18" s="171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280">
        <v>7.0000000000000007E-2</v>
      </c>
      <c r="F19" s="230">
        <v>0.03</v>
      </c>
      <c r="G19" s="80">
        <f t="shared" si="0"/>
        <v>223.04240766713417</v>
      </c>
      <c r="H19" s="81">
        <f t="shared" si="1"/>
        <v>220.39610645161292</v>
      </c>
      <c r="I19" s="82">
        <f t="shared" si="2"/>
        <v>-2.6463012155212482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80">
        <v>1.1399999999999999</v>
      </c>
      <c r="F20" s="230">
        <v>1.33</v>
      </c>
      <c r="G20" s="80">
        <f t="shared" si="0"/>
        <v>5489.9003907032657</v>
      </c>
      <c r="H20" s="81">
        <f t="shared" si="1"/>
        <v>5470.851419354839</v>
      </c>
      <c r="I20" s="82">
        <f t="shared" si="2"/>
        <v>-19.048971348426676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80">
        <v>3.67</v>
      </c>
      <c r="F21" s="230">
        <v>3.12</v>
      </c>
      <c r="G21" s="80">
        <f t="shared" si="0"/>
        <v>15109.18969077673</v>
      </c>
      <c r="H21" s="81">
        <f t="shared" si="1"/>
        <v>15014.665067741938</v>
      </c>
      <c r="I21" s="82">
        <f t="shared" si="2"/>
        <v>-94.524623034791148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80">
        <v>1.94</v>
      </c>
      <c r="F22" s="230">
        <v>2</v>
      </c>
      <c r="G22" s="80">
        <v>8464.9</v>
      </c>
      <c r="H22" s="53">
        <v>8557.7999999999993</v>
      </c>
      <c r="I22" s="82">
        <f t="shared" si="2"/>
        <v>92.899999999999636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280">
        <v>0.22</v>
      </c>
      <c r="F23" s="230">
        <v>0.21</v>
      </c>
      <c r="G23" s="80">
        <f t="shared" si="0"/>
        <v>956.43547118145989</v>
      </c>
      <c r="H23" s="81">
        <f t="shared" ref="H23" si="3">($P$15/$P$16*E23)+($Q$15/$Q$16*F23)</f>
        <v>951.42562580645165</v>
      </c>
      <c r="I23" s="82">
        <f t="shared" si="2"/>
        <v>-5.0098453750082399</v>
      </c>
      <c r="J23" s="171"/>
      <c r="K23" s="171"/>
      <c r="N23" s="341"/>
      <c r="O23" s="341"/>
      <c r="P23" s="341"/>
      <c r="Q23" s="341"/>
    </row>
    <row r="24" spans="2:17" ht="48">
      <c r="B24" s="84" t="s">
        <v>306</v>
      </c>
      <c r="C24" s="76" t="s">
        <v>299</v>
      </c>
      <c r="D24" s="77" t="s">
        <v>300</v>
      </c>
      <c r="E24" s="280">
        <v>0</v>
      </c>
      <c r="F24" s="230">
        <v>3</v>
      </c>
      <c r="G24" s="80">
        <v>6720.68</v>
      </c>
      <c r="H24" s="130">
        <v>10802</v>
      </c>
      <c r="I24" s="82">
        <f t="shared" si="2"/>
        <v>4081.3199999999997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80">
        <v>0.71</v>
      </c>
      <c r="F25" s="230">
        <v>1.29</v>
      </c>
      <c r="G25" s="80">
        <f t="shared" si="0"/>
        <v>4438.3006418219456</v>
      </c>
      <c r="H25" s="81">
        <f t="shared" ref="H25:H27" si="4">($P$15/$P$16*E25)+($Q$15/$Q$16*F25)</f>
        <v>4439.6311903225815</v>
      </c>
      <c r="I25" s="82">
        <f t="shared" si="2"/>
        <v>1.330548500635814</v>
      </c>
      <c r="J25" s="171"/>
      <c r="K25" s="171"/>
      <c r="L25" s="279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280">
        <v>0.25</v>
      </c>
      <c r="F26" s="230">
        <v>0.83</v>
      </c>
      <c r="G26" s="80">
        <f t="shared" si="0"/>
        <v>2392.3231610231746</v>
      </c>
      <c r="H26" s="81">
        <f t="shared" si="4"/>
        <v>2403.5312612903226</v>
      </c>
      <c r="I26" s="82">
        <f t="shared" si="2"/>
        <v>11.208100267147984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280">
        <v>0.17</v>
      </c>
      <c r="F27" s="230">
        <v>0.05</v>
      </c>
      <c r="G27" s="80">
        <f t="shared" si="0"/>
        <v>491.21613771455287</v>
      </c>
      <c r="H27" s="81">
        <f t="shared" si="4"/>
        <v>484.13615161290329</v>
      </c>
      <c r="I27" s="82">
        <f t="shared" si="2"/>
        <v>-7.0799861016495811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8.4499999999999993</v>
      </c>
      <c r="F28" s="88">
        <f>SUM(F16:F27)</f>
        <v>12.13</v>
      </c>
      <c r="G28" s="173">
        <f>SUM(G16:G27)</f>
        <v>45509.289999999994</v>
      </c>
      <c r="H28" s="174">
        <f>SUM(H16:H27)</f>
        <v>49561.440700000006</v>
      </c>
      <c r="I28" s="175">
        <f>H28-G28</f>
        <v>4052.1507000000129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76"/>
      <c r="K30" s="276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79"/>
      <c r="K31" s="279"/>
      <c r="L31" s="44"/>
      <c r="M31" s="28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45509.29</v>
      </c>
      <c r="E32" s="296"/>
      <c r="F32" s="295">
        <f>14583.88+15739.83+8464.9</f>
        <v>38788.61</v>
      </c>
      <c r="G32" s="296"/>
      <c r="H32" s="295">
        <f>G24</f>
        <v>6720.68</v>
      </c>
      <c r="I32" s="297"/>
      <c r="J32" s="278"/>
      <c r="K32" s="278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43989.11</v>
      </c>
      <c r="E33" s="296"/>
      <c r="F33" s="295">
        <f>14030.34+15142.43+8350.75</f>
        <v>37523.520000000004</v>
      </c>
      <c r="G33" s="296"/>
      <c r="H33" s="295">
        <v>6465.59</v>
      </c>
      <c r="I33" s="297"/>
      <c r="J33" s="278"/>
      <c r="K33" s="278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49561.440700000006</v>
      </c>
      <c r="E34" s="315"/>
      <c r="F34" s="314">
        <f>H16+H17+H18+H19+H20+H21+H22+H23+H25+H26+H27</f>
        <v>38759.440700000006</v>
      </c>
      <c r="G34" s="315"/>
      <c r="H34" s="314">
        <f>H24</f>
        <v>10802</v>
      </c>
      <c r="I34" s="316"/>
      <c r="J34" s="278"/>
      <c r="K34" s="278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-5572.3307000000023</v>
      </c>
      <c r="E35" s="318"/>
      <c r="F35" s="319">
        <f>F33-F34</f>
        <v>-1235.9207000000024</v>
      </c>
      <c r="G35" s="320"/>
      <c r="H35" s="319">
        <f>H33-H34</f>
        <v>-4336.41</v>
      </c>
      <c r="I35" s="321"/>
      <c r="J35" s="278"/>
      <c r="K35" s="278"/>
      <c r="L35" s="5"/>
      <c r="M35" s="5"/>
      <c r="N35" s="341"/>
      <c r="O35" s="341"/>
      <c r="P35" s="341"/>
      <c r="Q35" s="341"/>
    </row>
    <row r="36" spans="2:17" ht="34.5" customHeight="1">
      <c r="B36" s="275" t="s">
        <v>267</v>
      </c>
      <c r="C36" s="275"/>
      <c r="D36" s="131"/>
      <c r="E36" s="337" t="s">
        <v>325</v>
      </c>
      <c r="F36" s="322"/>
      <c r="G36" s="287" t="s">
        <v>11</v>
      </c>
      <c r="H36" s="287"/>
      <c r="I36" s="275"/>
      <c r="J36" s="275"/>
      <c r="K36" s="275"/>
      <c r="L36" s="6"/>
      <c r="M36" s="6"/>
      <c r="N36" s="344"/>
      <c r="O36" s="344"/>
      <c r="P36" s="344"/>
      <c r="Q36" s="344"/>
    </row>
    <row r="37" spans="2:17" ht="11.25" customHeight="1">
      <c r="B37" s="275"/>
      <c r="C37" s="275"/>
      <c r="D37" s="275"/>
      <c r="E37" s="285" t="s">
        <v>12</v>
      </c>
      <c r="F37" s="285"/>
      <c r="G37" s="288"/>
      <c r="H37" s="288"/>
      <c r="I37" s="277"/>
      <c r="J37" s="277"/>
      <c r="K37" s="277"/>
      <c r="L37" s="6"/>
      <c r="M37" s="6"/>
      <c r="N37" s="344"/>
      <c r="O37" s="344"/>
      <c r="P37" s="344"/>
      <c r="Q37" s="344"/>
    </row>
    <row r="38" spans="2:17">
      <c r="B38" s="275" t="s">
        <v>268</v>
      </c>
      <c r="C38" s="275"/>
      <c r="D38" s="275"/>
      <c r="E38" s="286" t="s">
        <v>10</v>
      </c>
      <c r="F38" s="286"/>
      <c r="G38" s="287" t="s">
        <v>312</v>
      </c>
      <c r="H38" s="287"/>
      <c r="I38" s="275"/>
      <c r="J38" s="275"/>
      <c r="K38" s="275"/>
      <c r="L38" s="6"/>
      <c r="M38" s="6"/>
      <c r="N38" s="344"/>
      <c r="O38" s="344"/>
      <c r="P38" s="344"/>
      <c r="Q38" s="344"/>
    </row>
    <row r="39" spans="2:17" ht="9.75" customHeight="1">
      <c r="B39" s="275"/>
      <c r="C39" s="275"/>
      <c r="D39" s="275"/>
      <c r="E39" s="285" t="s">
        <v>12</v>
      </c>
      <c r="F39" s="285"/>
      <c r="G39" s="287"/>
      <c r="H39" s="287"/>
      <c r="I39" s="275"/>
      <c r="J39" s="275"/>
      <c r="K39" s="275"/>
      <c r="N39" s="341"/>
      <c r="O39" s="341"/>
      <c r="P39" s="341"/>
      <c r="Q39" s="341"/>
    </row>
    <row r="40" spans="2:17">
      <c r="B40" s="275" t="s">
        <v>269</v>
      </c>
      <c r="C40" s="275"/>
      <c r="D40" s="275"/>
      <c r="E40" s="286" t="s">
        <v>10</v>
      </c>
      <c r="F40" s="286"/>
      <c r="G40" s="287" t="s">
        <v>313</v>
      </c>
      <c r="H40" s="287"/>
      <c r="I40" s="275"/>
      <c r="J40" s="275"/>
      <c r="K40" s="27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82"/>
      <c r="J41" s="282"/>
      <c r="K41" s="282"/>
      <c r="N41" s="341"/>
      <c r="O41" s="341"/>
      <c r="P41" s="341"/>
      <c r="Q41" s="341"/>
    </row>
    <row r="42" spans="2:17">
      <c r="B42" s="275" t="s">
        <v>270</v>
      </c>
      <c r="C42" s="275"/>
      <c r="D42" s="275"/>
      <c r="E42" s="286" t="s">
        <v>10</v>
      </c>
      <c r="F42" s="286"/>
      <c r="G42" s="287" t="s">
        <v>244</v>
      </c>
      <c r="H42" s="287"/>
    </row>
    <row r="43" spans="2:17" ht="9" customHeight="1">
      <c r="B43" s="39"/>
      <c r="C43" s="39"/>
      <c r="D43" s="39"/>
      <c r="E43" s="285" t="s">
        <v>12</v>
      </c>
      <c r="F43" s="285"/>
      <c r="G43" s="285"/>
      <c r="H43" s="285"/>
    </row>
    <row r="44" spans="2:17">
      <c r="C44" s="46"/>
      <c r="E44" s="281"/>
      <c r="F44" s="281"/>
    </row>
  </sheetData>
  <mergeCells count="42">
    <mergeCell ref="E41:F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H35:I35"/>
    <mergeCell ref="E36:F36"/>
    <mergeCell ref="G36:H36"/>
    <mergeCell ref="E37:F37"/>
    <mergeCell ref="G37:H37"/>
    <mergeCell ref="D35:E35"/>
    <mergeCell ref="F35:G35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33:E33"/>
    <mergeCell ref="F33:G33"/>
    <mergeCell ref="H33:I33"/>
    <mergeCell ref="D34:E34"/>
    <mergeCell ref="D5:F5"/>
    <mergeCell ref="D12:E12"/>
    <mergeCell ref="F34:G34"/>
    <mergeCell ref="B30:I30"/>
    <mergeCell ref="D31:E31"/>
    <mergeCell ref="F31:G31"/>
    <mergeCell ref="H31:I31"/>
    <mergeCell ref="D32:E32"/>
    <mergeCell ref="F32:G32"/>
    <mergeCell ref="H32:I32"/>
    <mergeCell ref="H34:I34"/>
  </mergeCells>
  <printOptions horizontalCentered="1"/>
  <pageMargins left="0.31496062992125984" right="0.19685039370078741" top="0.15748031496062992" bottom="0.23622047244094491" header="0.16" footer="0.25"/>
  <pageSetup paperSize="9" scale="43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zoomScale="110" zoomScaleNormal="110" workbookViewId="0">
      <selection activeCell="B1" sqref="B1:I1"/>
    </sheetView>
  </sheetViews>
  <sheetFormatPr defaultColWidth="9.140625" defaultRowHeight="15.75" outlineLevelRow="1"/>
  <cols>
    <col min="1" max="1" width="2.85546875" style="1" customWidth="1"/>
    <col min="2" max="2" width="55.28515625" style="1" customWidth="1"/>
    <col min="3" max="3" width="12" style="3" customWidth="1"/>
    <col min="4" max="4" width="9.28515625" style="3" customWidth="1"/>
    <col min="5" max="5" width="11" style="3" customWidth="1"/>
    <col min="6" max="6" width="10.28515625" style="3" customWidth="1"/>
    <col min="7" max="7" width="10.140625" style="1" customWidth="1"/>
    <col min="8" max="8" width="10.28515625" style="1" customWidth="1"/>
    <col min="9" max="9" width="11.42578125" style="1" customWidth="1"/>
    <col min="10" max="10" width="10.7109375" style="1" bestFit="1" customWidth="1"/>
    <col min="11" max="12" width="9.140625" style="1"/>
    <col min="13" max="13" width="12.28515625" style="1" customWidth="1"/>
    <col min="14" max="14" width="13.85546875" style="339" customWidth="1"/>
    <col min="15" max="15" width="14.5703125" style="339" customWidth="1"/>
    <col min="16" max="16" width="11.85546875" style="339" customWidth="1"/>
    <col min="17" max="17" width="12.7109375" style="339" customWidth="1"/>
    <col min="18" max="18" width="9.140625" style="339"/>
    <col min="19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8.2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239</v>
      </c>
      <c r="E5" s="299"/>
      <c r="F5" s="299"/>
    </row>
    <row r="6" spans="1:18">
      <c r="B6" s="1" t="s">
        <v>1</v>
      </c>
      <c r="D6" s="29">
        <v>1961</v>
      </c>
      <c r="E6" s="29"/>
      <c r="F6" s="29"/>
    </row>
    <row r="7" spans="1:18" hidden="1" outlineLevel="1">
      <c r="B7" s="1" t="s">
        <v>2</v>
      </c>
      <c r="D7" s="29">
        <v>2</v>
      </c>
      <c r="E7" s="29"/>
      <c r="F7" s="29"/>
    </row>
    <row r="8" spans="1:18" hidden="1" outlineLevel="1">
      <c r="B8" s="1" t="s">
        <v>3</v>
      </c>
      <c r="D8" s="29">
        <v>8</v>
      </c>
      <c r="E8" s="29"/>
      <c r="F8" s="29"/>
    </row>
    <row r="9" spans="1:18" ht="30.75" hidden="1" customHeight="1" outlineLevel="1">
      <c r="B9" s="2" t="s">
        <v>4</v>
      </c>
      <c r="C9" s="7"/>
      <c r="D9" s="29" t="s">
        <v>240</v>
      </c>
      <c r="E9" s="29"/>
      <c r="F9" s="29"/>
    </row>
    <row r="10" spans="1:18" collapsed="1">
      <c r="B10" s="1" t="s">
        <v>5</v>
      </c>
      <c r="D10" s="36" t="s">
        <v>250</v>
      </c>
      <c r="E10" s="29"/>
      <c r="F10" s="29"/>
      <c r="J10" s="10"/>
    </row>
    <row r="11" spans="1:18" hidden="1" outlineLevel="1">
      <c r="B11" s="1" t="s">
        <v>6</v>
      </c>
      <c r="D11" s="29" t="s">
        <v>16</v>
      </c>
      <c r="E11" s="29"/>
      <c r="F11" s="29"/>
    </row>
    <row r="12" spans="1:18" ht="30.75" hidden="1" customHeight="1" outlineLevel="1">
      <c r="B12" s="2" t="s">
        <v>7</v>
      </c>
      <c r="C12" s="7"/>
      <c r="D12" s="323" t="s">
        <v>241</v>
      </c>
      <c r="E12" s="323"/>
      <c r="F12" s="29"/>
      <c r="J12" s="10"/>
    </row>
    <row r="13" spans="1:18" ht="37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3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15396.42</v>
      </c>
      <c r="O15" s="341">
        <v>17461.09</v>
      </c>
      <c r="P15" s="341">
        <f>18491.56*0.83</f>
        <v>15347.9948</v>
      </c>
      <c r="Q15" s="341">
        <f>20677.61*0.83</f>
        <v>17162.416300000001</v>
      </c>
      <c r="R15" s="339">
        <f>(N15+O15)/(P15+Q15)*100</f>
        <v>101.06765460126709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4564.133436274331</v>
      </c>
      <c r="H16" s="81">
        <f>($P$15/$P$16*E16)+($Q$15/$Q$16*F16)</f>
        <v>4517.2982135538477</v>
      </c>
      <c r="I16" s="82">
        <f>H16-G16</f>
        <v>-46.835222720483216</v>
      </c>
      <c r="J16" s="171"/>
      <c r="K16" s="171"/>
      <c r="L16" s="12"/>
      <c r="M16" s="13"/>
      <c r="N16" s="342">
        <v>6.95</v>
      </c>
      <c r="O16" s="341">
        <v>7.88</v>
      </c>
      <c r="P16" s="342">
        <v>6.95</v>
      </c>
      <c r="Q16" s="341">
        <v>7.88</v>
      </c>
    </row>
    <row r="17" spans="2:17" ht="51">
      <c r="B17" s="102" t="s">
        <v>301</v>
      </c>
      <c r="C17" s="76" t="s">
        <v>299</v>
      </c>
      <c r="D17" s="77" t="s">
        <v>300</v>
      </c>
      <c r="E17" s="158">
        <v>1.1299999999999999</v>
      </c>
      <c r="F17" s="156">
        <v>1.17</v>
      </c>
      <c r="G17" s="80">
        <f t="shared" ref="G17:G27" si="0">($N$15/$N$16*E17)+($O$15/$O$16*F17)</f>
        <v>5095.8758277580982</v>
      </c>
      <c r="H17" s="81">
        <f t="shared" ref="H17:H21" si="1">($P$15/$P$16*E17)+($Q$15/$Q$16*F17)</f>
        <v>5043.6561560196096</v>
      </c>
      <c r="I17" s="82">
        <f t="shared" ref="I17:I27" si="2">H17-G17</f>
        <v>-52.219671738488614</v>
      </c>
      <c r="J17" s="171"/>
      <c r="K17" s="171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158">
        <v>0.28000000000000003</v>
      </c>
      <c r="F18" s="156">
        <v>0.27</v>
      </c>
      <c r="G18" s="80">
        <f t="shared" si="0"/>
        <v>1218.5735031406348</v>
      </c>
      <c r="H18" s="81">
        <f t="shared" si="1"/>
        <v>1206.3888163033635</v>
      </c>
      <c r="I18" s="82">
        <f t="shared" si="2"/>
        <v>-12.184686837271329</v>
      </c>
      <c r="J18" s="171"/>
      <c r="K18" s="171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158">
        <v>0.03</v>
      </c>
      <c r="F19" s="156">
        <v>0.03</v>
      </c>
      <c r="G19" s="80">
        <f t="shared" si="0"/>
        <v>132.93559787094182</v>
      </c>
      <c r="H19" s="81">
        <f t="shared" si="1"/>
        <v>131.58948561644087</v>
      </c>
      <c r="I19" s="82">
        <f t="shared" si="2"/>
        <v>-1.3461122545009516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158">
        <v>0.91</v>
      </c>
      <c r="F20" s="156">
        <v>1.18</v>
      </c>
      <c r="G20" s="80">
        <f t="shared" si="0"/>
        <v>4630.6658807654385</v>
      </c>
      <c r="H20" s="81">
        <f t="shared" si="1"/>
        <v>4579.6000655176567</v>
      </c>
      <c r="I20" s="82">
        <f t="shared" si="2"/>
        <v>-51.065815247781757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158">
        <f>3.67-1.1</f>
        <v>2.57</v>
      </c>
      <c r="F21" s="156">
        <f>3.33-0.9</f>
        <v>2.4300000000000002</v>
      </c>
      <c r="G21" s="80">
        <f t="shared" si="0"/>
        <v>11077.927139776504</v>
      </c>
      <c r="H21" s="81">
        <f t="shared" si="1"/>
        <v>10967.91657550725</v>
      </c>
      <c r="I21" s="82">
        <f t="shared" si="2"/>
        <v>-110.01056426925425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158">
        <v>1.94</v>
      </c>
      <c r="F22" s="156">
        <v>2.1</v>
      </c>
      <c r="G22" s="80">
        <v>8417.76</v>
      </c>
      <c r="H22" s="53">
        <v>8546.07</v>
      </c>
      <c r="I22" s="82">
        <f t="shared" si="2"/>
        <v>128.30999999999949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158">
        <v>0.22</v>
      </c>
      <c r="F23" s="156">
        <v>0.21</v>
      </c>
      <c r="G23" s="80">
        <f t="shared" si="0"/>
        <v>952.70230739875103</v>
      </c>
      <c r="H23" s="81">
        <f t="shared" ref="H23" si="3">($P$15/$P$16*E23)+($Q$15/$Q$16*F23)</f>
        <v>943.20984507048161</v>
      </c>
      <c r="I23" s="82">
        <f t="shared" si="2"/>
        <v>-9.4924623282694256</v>
      </c>
      <c r="J23" s="171"/>
      <c r="K23" s="171"/>
      <c r="N23" s="341"/>
      <c r="O23" s="341"/>
      <c r="P23" s="341"/>
      <c r="Q23" s="341"/>
    </row>
    <row r="24" spans="2:17" ht="48">
      <c r="B24" s="84" t="s">
        <v>306</v>
      </c>
      <c r="C24" s="76" t="s">
        <v>299</v>
      </c>
      <c r="D24" s="77" t="s">
        <v>300</v>
      </c>
      <c r="E24" s="158">
        <v>4.76</v>
      </c>
      <c r="F24" s="156">
        <v>4.76</v>
      </c>
      <c r="G24" s="80">
        <v>21089.78</v>
      </c>
      <c r="H24" s="130">
        <v>20586</v>
      </c>
      <c r="I24" s="82">
        <f t="shared" si="2"/>
        <v>-503.77999999999884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158">
        <v>0.49</v>
      </c>
      <c r="F25" s="156">
        <v>0.86</v>
      </c>
      <c r="G25" s="80">
        <f t="shared" si="0"/>
        <v>2991.1549471204762</v>
      </c>
      <c r="H25" s="81">
        <f t="shared" ref="H25:H27" si="4">($P$15/$P$16*E25)+($Q$15/$Q$16*F25)</f>
        <v>2955.1444280549977</v>
      </c>
      <c r="I25" s="82">
        <f t="shared" si="2"/>
        <v>-36.010519065478547</v>
      </c>
      <c r="J25" s="171"/>
      <c r="K25" s="171"/>
      <c r="L25" s="154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158">
        <v>0.25</v>
      </c>
      <c r="F26" s="156">
        <v>0.63</v>
      </c>
      <c r="G26" s="80">
        <f t="shared" si="0"/>
        <v>1949.8289078077642</v>
      </c>
      <c r="H26" s="81">
        <f t="shared" si="4"/>
        <v>1924.2082592402221</v>
      </c>
      <c r="I26" s="82">
        <f t="shared" si="2"/>
        <v>-25.620648567542048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158">
        <v>0.06</v>
      </c>
      <c r="F27" s="156">
        <v>0.05</v>
      </c>
      <c r="G27" s="80">
        <f t="shared" si="0"/>
        <v>243.71245208706131</v>
      </c>
      <c r="H27" s="81">
        <f t="shared" si="4"/>
        <v>241.39925511613046</v>
      </c>
      <c r="I27" s="82">
        <f t="shared" si="2"/>
        <v>-2.3131969709308464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13.65</v>
      </c>
      <c r="F28" s="88">
        <f>SUM(F16:F27)</f>
        <v>14.74</v>
      </c>
      <c r="G28" s="173">
        <f>SUM(G16:G27)</f>
        <v>62365.05</v>
      </c>
      <c r="H28" s="174">
        <f>SUM(H16:H27)</f>
        <v>61642.481099999997</v>
      </c>
      <c r="I28" s="175">
        <f>H28-G28</f>
        <v>-722.56890000000567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151"/>
      <c r="K30" s="151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154"/>
      <c r="K31" s="154"/>
      <c r="L31" s="44"/>
      <c r="M31" s="148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62365.05</v>
      </c>
      <c r="E32" s="296"/>
      <c r="F32" s="295">
        <f>15396.42+17461.09+8417.76</f>
        <v>41275.270000000004</v>
      </c>
      <c r="G32" s="296"/>
      <c r="H32" s="295">
        <f>G24</f>
        <v>21089.78</v>
      </c>
      <c r="I32" s="297"/>
      <c r="J32" s="155"/>
      <c r="K32" s="155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60206.28</v>
      </c>
      <c r="E33" s="296"/>
      <c r="F33" s="295">
        <f>14860.17+16852.93+8137.96</f>
        <v>39851.06</v>
      </c>
      <c r="G33" s="296"/>
      <c r="H33" s="295">
        <v>20355.22</v>
      </c>
      <c r="I33" s="297"/>
      <c r="J33" s="155"/>
      <c r="K33" s="155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61642.481099999997</v>
      </c>
      <c r="E34" s="315"/>
      <c r="F34" s="314">
        <f>H16+H17+H18+H19+H20+H21+H22+H23+H25+H26+H27</f>
        <v>41056.481099999997</v>
      </c>
      <c r="G34" s="315"/>
      <c r="H34" s="314">
        <f>H24</f>
        <v>20586</v>
      </c>
      <c r="I34" s="316"/>
      <c r="J34" s="155"/>
      <c r="K34" s="155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-1436.2010999999984</v>
      </c>
      <c r="E35" s="318"/>
      <c r="F35" s="319">
        <f>F33-F34</f>
        <v>-1205.4210999999996</v>
      </c>
      <c r="G35" s="320"/>
      <c r="H35" s="319">
        <f>H33-H34</f>
        <v>-230.77999999999884</v>
      </c>
      <c r="I35" s="321"/>
      <c r="J35" s="155"/>
      <c r="K35" s="155"/>
      <c r="L35" s="5"/>
      <c r="M35" s="5"/>
      <c r="N35" s="341"/>
      <c r="O35" s="341"/>
      <c r="P35" s="341"/>
      <c r="Q35" s="341"/>
    </row>
    <row r="36" spans="2:17" ht="34.5" customHeight="1">
      <c r="B36" s="152" t="s">
        <v>267</v>
      </c>
      <c r="C36" s="152"/>
      <c r="D36" s="131"/>
      <c r="E36" s="322" t="s">
        <v>10</v>
      </c>
      <c r="F36" s="322"/>
      <c r="G36" s="287" t="s">
        <v>11</v>
      </c>
      <c r="H36" s="287"/>
      <c r="I36" s="152"/>
      <c r="J36" s="152"/>
      <c r="K36" s="152"/>
      <c r="L36" s="6"/>
      <c r="M36" s="6"/>
      <c r="N36" s="344"/>
      <c r="O36" s="344"/>
      <c r="P36" s="344"/>
      <c r="Q36" s="344"/>
    </row>
    <row r="37" spans="2:17" ht="11.25" customHeight="1">
      <c r="B37" s="152"/>
      <c r="C37" s="152"/>
      <c r="D37" s="152"/>
      <c r="E37" s="285" t="s">
        <v>12</v>
      </c>
      <c r="F37" s="285"/>
      <c r="G37" s="288"/>
      <c r="H37" s="288"/>
      <c r="I37" s="153"/>
      <c r="J37" s="153"/>
      <c r="K37" s="153"/>
      <c r="L37" s="6"/>
      <c r="M37" s="6"/>
      <c r="N37" s="344"/>
      <c r="O37" s="344"/>
      <c r="P37" s="344"/>
      <c r="Q37" s="344"/>
    </row>
    <row r="38" spans="2:17">
      <c r="B38" s="152" t="s">
        <v>268</v>
      </c>
      <c r="C38" s="152"/>
      <c r="D38" s="152"/>
      <c r="E38" s="286" t="s">
        <v>10</v>
      </c>
      <c r="F38" s="286"/>
      <c r="G38" s="287" t="s">
        <v>312</v>
      </c>
      <c r="H38" s="287"/>
      <c r="I38" s="152"/>
      <c r="J38" s="152"/>
      <c r="K38" s="152"/>
      <c r="L38" s="6"/>
      <c r="M38" s="6"/>
      <c r="N38" s="344"/>
      <c r="O38" s="344"/>
      <c r="P38" s="344"/>
      <c r="Q38" s="344"/>
    </row>
    <row r="39" spans="2:17" ht="9.75" customHeight="1">
      <c r="B39" s="152"/>
      <c r="C39" s="152"/>
      <c r="D39" s="152"/>
      <c r="E39" s="285" t="s">
        <v>12</v>
      </c>
      <c r="F39" s="285"/>
      <c r="G39" s="287"/>
      <c r="H39" s="287"/>
      <c r="I39" s="152"/>
      <c r="J39" s="152"/>
      <c r="K39" s="152"/>
      <c r="N39" s="341"/>
      <c r="O39" s="341"/>
      <c r="P39" s="341"/>
      <c r="Q39" s="341"/>
    </row>
    <row r="40" spans="2:17">
      <c r="B40" s="152" t="s">
        <v>269</v>
      </c>
      <c r="C40" s="152"/>
      <c r="D40" s="152"/>
      <c r="E40" s="286" t="s">
        <v>10</v>
      </c>
      <c r="F40" s="286"/>
      <c r="G40" s="287" t="s">
        <v>313</v>
      </c>
      <c r="H40" s="287"/>
      <c r="I40" s="152"/>
      <c r="J40" s="152"/>
      <c r="K40" s="152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157"/>
      <c r="J41" s="157"/>
      <c r="K41" s="157"/>
      <c r="N41" s="341"/>
      <c r="O41" s="341"/>
      <c r="P41" s="341"/>
      <c r="Q41" s="341"/>
    </row>
    <row r="42" spans="2:17">
      <c r="B42" s="152" t="s">
        <v>270</v>
      </c>
      <c r="C42" s="152"/>
      <c r="D42" s="152"/>
      <c r="E42" s="286" t="s">
        <v>10</v>
      </c>
      <c r="F42" s="286"/>
      <c r="G42" s="287" t="s">
        <v>244</v>
      </c>
      <c r="H42" s="287"/>
    </row>
    <row r="43" spans="2:17" ht="8.25" customHeight="1">
      <c r="E43" s="285" t="s">
        <v>12</v>
      </c>
      <c r="F43" s="285"/>
    </row>
  </sheetData>
  <mergeCells count="41">
    <mergeCell ref="E43:F43"/>
    <mergeCell ref="E40:F40"/>
    <mergeCell ref="G40:H40"/>
    <mergeCell ref="E41:F41"/>
    <mergeCell ref="E42:F42"/>
    <mergeCell ref="G42:H42"/>
    <mergeCell ref="G37:H37"/>
    <mergeCell ref="E38:F38"/>
    <mergeCell ref="G38:H38"/>
    <mergeCell ref="E39:F39"/>
    <mergeCell ref="G39:H39"/>
    <mergeCell ref="E37:F37"/>
    <mergeCell ref="H33:I33"/>
    <mergeCell ref="H34:I34"/>
    <mergeCell ref="H35:I35"/>
    <mergeCell ref="E36:F36"/>
    <mergeCell ref="G36:H36"/>
    <mergeCell ref="D33:E33"/>
    <mergeCell ref="D34:E34"/>
    <mergeCell ref="D35:E35"/>
    <mergeCell ref="F33:G33"/>
    <mergeCell ref="F34:G34"/>
    <mergeCell ref="F35:G35"/>
    <mergeCell ref="B30:I30"/>
    <mergeCell ref="D31:E31"/>
    <mergeCell ref="F31:G31"/>
    <mergeCell ref="H31:I31"/>
    <mergeCell ref="D32:E32"/>
    <mergeCell ref="F32:G32"/>
    <mergeCell ref="H32:I32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D5:F5"/>
    <mergeCell ref="D12:E12"/>
  </mergeCells>
  <printOptions horizontalCentered="1"/>
  <pageMargins left="0.2" right="0.19685039370078741" top="0.15748031496062992" bottom="0.23622047244094491" header="0.16" footer="0.25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zoomScale="110" zoomScaleNormal="110" workbookViewId="0">
      <selection activeCell="E18" sqref="E18"/>
    </sheetView>
  </sheetViews>
  <sheetFormatPr defaultColWidth="9.140625" defaultRowHeight="15.75" outlineLevelRow="1"/>
  <cols>
    <col min="1" max="1" width="2.85546875" style="1" customWidth="1"/>
    <col min="2" max="2" width="54.140625" style="1" customWidth="1"/>
    <col min="3" max="3" width="12.7109375" style="3" customWidth="1"/>
    <col min="4" max="4" width="9.28515625" style="3" customWidth="1"/>
    <col min="5" max="5" width="10.42578125" style="3" customWidth="1"/>
    <col min="6" max="6" width="10.28515625" style="3" customWidth="1"/>
    <col min="7" max="7" width="9.7109375" style="1" customWidth="1"/>
    <col min="8" max="8" width="10.28515625" style="1" customWidth="1"/>
    <col min="9" max="9" width="12.140625" style="1" customWidth="1"/>
    <col min="10" max="10" width="10.7109375" style="1" bestFit="1" customWidth="1"/>
    <col min="11" max="13" width="9.140625" style="1"/>
    <col min="14" max="14" width="14" style="339" customWidth="1"/>
    <col min="15" max="15" width="12" style="339" customWidth="1"/>
    <col min="16" max="16" width="13.42578125" style="339" customWidth="1"/>
    <col min="17" max="17" width="14" style="339" customWidth="1"/>
    <col min="18" max="20" width="9.140625" style="339"/>
    <col min="21" max="16384" width="9.140625" style="1"/>
  </cols>
  <sheetData>
    <row r="1" spans="1:18">
      <c r="B1" s="117"/>
      <c r="C1" s="117"/>
      <c r="D1" s="117"/>
      <c r="E1" s="117"/>
      <c r="F1" s="117"/>
      <c r="G1" s="117"/>
      <c r="H1" s="117"/>
      <c r="I1" s="117"/>
    </row>
    <row r="2" spans="1:18" ht="15.75" customHeight="1">
      <c r="A2" s="122"/>
      <c r="B2" s="313" t="s">
        <v>320</v>
      </c>
      <c r="C2" s="313"/>
      <c r="D2" s="313"/>
      <c r="E2" s="313"/>
      <c r="F2" s="313"/>
      <c r="G2" s="313"/>
      <c r="H2" s="313"/>
      <c r="I2" s="313"/>
    </row>
    <row r="3" spans="1:18" ht="21" customHeight="1">
      <c r="A3" s="122"/>
      <c r="B3" s="313"/>
      <c r="C3" s="313"/>
      <c r="D3" s="313"/>
      <c r="E3" s="313"/>
      <c r="F3" s="313"/>
      <c r="G3" s="313"/>
      <c r="H3" s="313"/>
      <c r="I3" s="313"/>
    </row>
    <row r="4" spans="1:18" ht="13.5" customHeight="1">
      <c r="A4" s="122"/>
      <c r="B4" s="122"/>
      <c r="C4" s="122"/>
      <c r="D4" s="122"/>
      <c r="E4" s="122"/>
      <c r="F4" s="122"/>
      <c r="G4" s="122"/>
      <c r="H4" s="122"/>
    </row>
    <row r="5" spans="1:18">
      <c r="B5" s="1" t="s">
        <v>0</v>
      </c>
      <c r="D5" s="299" t="s">
        <v>242</v>
      </c>
      <c r="E5" s="299"/>
      <c r="F5" s="299"/>
    </row>
    <row r="6" spans="1:18">
      <c r="B6" s="1" t="s">
        <v>1</v>
      </c>
      <c r="D6" s="31">
        <v>1957</v>
      </c>
      <c r="E6" s="31"/>
      <c r="F6" s="31"/>
    </row>
    <row r="7" spans="1:18" hidden="1" outlineLevel="1">
      <c r="B7" s="1" t="s">
        <v>2</v>
      </c>
      <c r="D7" s="31">
        <v>2</v>
      </c>
      <c r="E7" s="31"/>
      <c r="F7" s="31"/>
    </row>
    <row r="8" spans="1:18" hidden="1" outlineLevel="1">
      <c r="B8" s="1" t="s">
        <v>3</v>
      </c>
      <c r="D8" s="31">
        <v>8</v>
      </c>
      <c r="E8" s="31"/>
      <c r="F8" s="31"/>
    </row>
    <row r="9" spans="1:18" ht="30.75" hidden="1" customHeight="1" outlineLevel="1">
      <c r="B9" s="2" t="s">
        <v>4</v>
      </c>
      <c r="C9" s="7"/>
      <c r="D9" s="31" t="s">
        <v>243</v>
      </c>
      <c r="E9" s="31"/>
      <c r="F9" s="31"/>
    </row>
    <row r="10" spans="1:18" collapsed="1">
      <c r="B10" s="1" t="s">
        <v>5</v>
      </c>
      <c r="D10" s="38" t="s">
        <v>266</v>
      </c>
      <c r="E10" s="31"/>
      <c r="F10" s="31"/>
      <c r="J10" s="10"/>
    </row>
    <row r="11" spans="1:18" hidden="1" outlineLevel="1">
      <c r="B11" s="1" t="s">
        <v>6</v>
      </c>
      <c r="D11" s="31" t="s">
        <v>16</v>
      </c>
      <c r="E11" s="31"/>
      <c r="F11" s="31"/>
    </row>
    <row r="12" spans="1:18" ht="30.75" hidden="1" customHeight="1" outlineLevel="1">
      <c r="B12" s="2" t="s">
        <v>7</v>
      </c>
      <c r="C12" s="7"/>
      <c r="D12" s="323" t="s">
        <v>241</v>
      </c>
      <c r="E12" s="323"/>
      <c r="F12" s="31"/>
      <c r="J12" s="10"/>
    </row>
    <row r="13" spans="1:18" ht="37.5" customHeight="1" collapsed="1" thickBot="1">
      <c r="B13" s="300" t="s">
        <v>288</v>
      </c>
      <c r="C13" s="300"/>
      <c r="D13" s="300"/>
      <c r="E13" s="300"/>
      <c r="F13" s="300"/>
      <c r="G13" s="300"/>
      <c r="H13" s="300"/>
      <c r="I13" s="300"/>
      <c r="J13" s="169"/>
      <c r="K13" s="169"/>
      <c r="M13" s="10"/>
      <c r="N13" s="340" t="s">
        <v>289</v>
      </c>
      <c r="O13" s="340" t="s">
        <v>290</v>
      </c>
      <c r="P13" s="340" t="s">
        <v>291</v>
      </c>
      <c r="Q13" s="340" t="s">
        <v>292</v>
      </c>
    </row>
    <row r="14" spans="1:18" ht="33.75" customHeight="1">
      <c r="B14" s="301" t="s">
        <v>293</v>
      </c>
      <c r="C14" s="303" t="s">
        <v>294</v>
      </c>
      <c r="D14" s="303" t="s">
        <v>295</v>
      </c>
      <c r="E14" s="305" t="s">
        <v>296</v>
      </c>
      <c r="F14" s="307" t="s">
        <v>297</v>
      </c>
      <c r="G14" s="309" t="s">
        <v>298</v>
      </c>
      <c r="H14" s="310"/>
      <c r="I14" s="311" t="s">
        <v>322</v>
      </c>
      <c r="J14" s="170"/>
      <c r="K14" s="170"/>
      <c r="M14" s="10"/>
      <c r="N14" s="340"/>
      <c r="O14" s="340"/>
      <c r="P14" s="340"/>
      <c r="Q14" s="340"/>
    </row>
    <row r="15" spans="1:18" ht="45" customHeight="1" thickBot="1">
      <c r="B15" s="302"/>
      <c r="C15" s="304"/>
      <c r="D15" s="304"/>
      <c r="E15" s="306"/>
      <c r="F15" s="308"/>
      <c r="G15" s="74" t="s">
        <v>274</v>
      </c>
      <c r="H15" s="75" t="s">
        <v>275</v>
      </c>
      <c r="I15" s="312"/>
      <c r="J15" s="170"/>
      <c r="K15" s="170"/>
      <c r="N15" s="341">
        <v>21059.11</v>
      </c>
      <c r="O15" s="341">
        <v>23655.07</v>
      </c>
      <c r="P15" s="341">
        <f>22064.02*0.95</f>
        <v>20960.819</v>
      </c>
      <c r="Q15" s="341">
        <f>24672.4*0.95</f>
        <v>23438.78</v>
      </c>
      <c r="R15" s="339">
        <f>(N15+O15)/(P15+Q15)*100</f>
        <v>100.70852216480604</v>
      </c>
    </row>
    <row r="16" spans="1:18" ht="50.25" customHeight="1">
      <c r="B16" s="101" t="s">
        <v>280</v>
      </c>
      <c r="C16" s="76" t="s">
        <v>299</v>
      </c>
      <c r="D16" s="77" t="s">
        <v>300</v>
      </c>
      <c r="E16" s="78">
        <v>1.01</v>
      </c>
      <c r="F16" s="79">
        <v>1.05</v>
      </c>
      <c r="G16" s="80">
        <f>($N$15/$N$16*E16)+($O$15/$O$16*F16)</f>
        <v>5426.0236355126526</v>
      </c>
      <c r="H16" s="81">
        <f>($P$15/$P$16*E16)+($Q$15/$Q$16*F16)</f>
        <v>5388.3863512359221</v>
      </c>
      <c r="I16" s="82">
        <f>H16-G16</f>
        <v>-37.637284276730497</v>
      </c>
      <c r="J16" s="171"/>
      <c r="K16" s="171"/>
      <c r="L16" s="12"/>
      <c r="M16" s="13"/>
      <c r="N16" s="342">
        <v>7.95</v>
      </c>
      <c r="O16" s="341">
        <v>9.0299999999999994</v>
      </c>
      <c r="P16" s="342">
        <v>7.95</v>
      </c>
      <c r="Q16" s="341">
        <v>9.0299999999999994</v>
      </c>
    </row>
    <row r="17" spans="2:17" ht="51">
      <c r="B17" s="102" t="s">
        <v>301</v>
      </c>
      <c r="C17" s="76" t="s">
        <v>299</v>
      </c>
      <c r="D17" s="77" t="s">
        <v>300</v>
      </c>
      <c r="E17" s="280">
        <v>1.1299999999999999</v>
      </c>
      <c r="F17" s="230">
        <v>1.17</v>
      </c>
      <c r="G17" s="80">
        <f t="shared" ref="G17:G27" si="0">($N$15/$N$16*E17)+($O$15/$O$16*F17)</f>
        <v>6058.2500837042144</v>
      </c>
      <c r="H17" s="81">
        <f t="shared" ref="H17:H21" si="1">($P$15/$P$16*E17)+($Q$15/$Q$16*F17)</f>
        <v>6016.254875977349</v>
      </c>
      <c r="I17" s="82">
        <f t="shared" ref="I17:I27" si="2">H17-G17</f>
        <v>-41.995207726865374</v>
      </c>
      <c r="J17" s="171"/>
      <c r="K17" s="171"/>
      <c r="L17" s="6"/>
      <c r="M17" s="6"/>
      <c r="N17" s="343"/>
      <c r="O17" s="344"/>
      <c r="P17" s="344"/>
      <c r="Q17" s="344"/>
    </row>
    <row r="18" spans="2:17" ht="52.5" customHeight="1">
      <c r="B18" s="84" t="s">
        <v>271</v>
      </c>
      <c r="C18" s="76" t="s">
        <v>299</v>
      </c>
      <c r="D18" s="77" t="s">
        <v>300</v>
      </c>
      <c r="E18" s="280">
        <v>0.28000000000000003</v>
      </c>
      <c r="F18" s="230">
        <v>0.27</v>
      </c>
      <c r="G18" s="80">
        <f t="shared" si="0"/>
        <v>1448.9989549718969</v>
      </c>
      <c r="H18" s="81">
        <f t="shared" si="1"/>
        <v>1439.0699907311059</v>
      </c>
      <c r="I18" s="82">
        <f t="shared" si="2"/>
        <v>-9.9289642407909469</v>
      </c>
      <c r="J18" s="171"/>
      <c r="K18" s="171"/>
      <c r="M18" s="10"/>
      <c r="N18" s="341"/>
      <c r="O18" s="341"/>
      <c r="P18" s="341"/>
      <c r="Q18" s="341"/>
    </row>
    <row r="19" spans="2:17" ht="25.5">
      <c r="B19" s="84" t="s">
        <v>272</v>
      </c>
      <c r="C19" s="83" t="s">
        <v>302</v>
      </c>
      <c r="D19" s="77" t="s">
        <v>300</v>
      </c>
      <c r="E19" s="280">
        <v>0.12</v>
      </c>
      <c r="F19" s="230">
        <v>0.02</v>
      </c>
      <c r="G19" s="80">
        <f t="shared" si="0"/>
        <v>370.26554010739881</v>
      </c>
      <c r="H19" s="81">
        <f t="shared" si="1"/>
        <v>368.30285475250213</v>
      </c>
      <c r="I19" s="82">
        <f t="shared" si="2"/>
        <v>-1.9626853548966778</v>
      </c>
      <c r="J19" s="171"/>
      <c r="K19" s="171"/>
      <c r="M19" s="10"/>
      <c r="N19" s="341"/>
      <c r="O19" s="341"/>
      <c r="P19" s="341"/>
      <c r="Q19" s="341"/>
    </row>
    <row r="20" spans="2:17" ht="51">
      <c r="B20" s="102" t="s">
        <v>281</v>
      </c>
      <c r="C20" s="76" t="s">
        <v>299</v>
      </c>
      <c r="D20" s="77" t="s">
        <v>300</v>
      </c>
      <c r="E20" s="280">
        <v>1.1399999999999999</v>
      </c>
      <c r="F20" s="230">
        <v>1.3</v>
      </c>
      <c r="G20" s="80">
        <f t="shared" si="0"/>
        <v>6425.2887107545084</v>
      </c>
      <c r="H20" s="81">
        <f t="shared" si="1"/>
        <v>6380.0560570258458</v>
      </c>
      <c r="I20" s="82">
        <f t="shared" si="2"/>
        <v>-45.232653728662626</v>
      </c>
      <c r="J20" s="171"/>
      <c r="K20" s="171"/>
      <c r="N20" s="341"/>
      <c r="O20" s="341"/>
      <c r="P20" s="341"/>
      <c r="Q20" s="341"/>
    </row>
    <row r="21" spans="2:17" ht="145.5" customHeight="1">
      <c r="B21" s="102" t="s">
        <v>282</v>
      </c>
      <c r="C21" s="76" t="s">
        <v>303</v>
      </c>
      <c r="D21" s="77" t="s">
        <v>300</v>
      </c>
      <c r="E21" s="280">
        <f>3.67-0.63</f>
        <v>3.04</v>
      </c>
      <c r="F21" s="230">
        <f>3.33-0.64</f>
        <v>2.69</v>
      </c>
      <c r="G21" s="80">
        <f t="shared" si="0"/>
        <v>15099.540175891681</v>
      </c>
      <c r="H21" s="81">
        <f t="shared" si="1"/>
        <v>14997.522781821601</v>
      </c>
      <c r="I21" s="82">
        <f t="shared" si="2"/>
        <v>-102.01739407008063</v>
      </c>
      <c r="J21" s="171"/>
      <c r="K21" s="171"/>
      <c r="L21" s="6"/>
      <c r="M21" s="11"/>
      <c r="N21" s="344"/>
      <c r="O21" s="344"/>
      <c r="P21" s="344"/>
      <c r="Q21" s="344"/>
    </row>
    <row r="22" spans="2:17" ht="27.75" customHeight="1">
      <c r="B22" s="84" t="s">
        <v>304</v>
      </c>
      <c r="C22" s="76" t="s">
        <v>302</v>
      </c>
      <c r="D22" s="77" t="s">
        <v>300</v>
      </c>
      <c r="E22" s="280">
        <v>1.94</v>
      </c>
      <c r="F22" s="230">
        <v>2</v>
      </c>
      <c r="G22" s="80">
        <v>10144</v>
      </c>
      <c r="H22" s="53">
        <v>10197.120000000001</v>
      </c>
      <c r="I22" s="82">
        <f t="shared" si="2"/>
        <v>53.1200000000008</v>
      </c>
      <c r="J22" s="171"/>
      <c r="K22" s="171"/>
      <c r="N22" s="341"/>
      <c r="O22" s="341"/>
      <c r="P22" s="341"/>
      <c r="Q22" s="341"/>
    </row>
    <row r="23" spans="2:17" ht="108.75" customHeight="1">
      <c r="B23" s="102" t="s">
        <v>305</v>
      </c>
      <c r="C23" s="76" t="s">
        <v>299</v>
      </c>
      <c r="D23" s="77" t="s">
        <v>300</v>
      </c>
      <c r="E23" s="280">
        <v>0.22</v>
      </c>
      <c r="F23" s="230">
        <v>0.21</v>
      </c>
      <c r="G23" s="80">
        <f t="shared" si="0"/>
        <v>1132.8857308761153</v>
      </c>
      <c r="H23" s="81">
        <f t="shared" ref="H23" si="3">($P$15/$P$16*E23)+($Q$15/$Q$16*F23)</f>
        <v>1125.135728360392</v>
      </c>
      <c r="I23" s="82">
        <f t="shared" si="2"/>
        <v>-7.7500025157232812</v>
      </c>
      <c r="J23" s="171"/>
      <c r="K23" s="171"/>
      <c r="N23" s="341"/>
      <c r="O23" s="341"/>
      <c r="P23" s="341"/>
      <c r="Q23" s="341"/>
    </row>
    <row r="24" spans="2:17" ht="48">
      <c r="B24" s="84" t="s">
        <v>306</v>
      </c>
      <c r="C24" s="76" t="s">
        <v>299</v>
      </c>
      <c r="D24" s="77" t="s">
        <v>300</v>
      </c>
      <c r="E24" s="280">
        <v>4.33</v>
      </c>
      <c r="F24" s="230">
        <v>4.33</v>
      </c>
      <c r="G24" s="80">
        <v>22939.86</v>
      </c>
      <c r="H24" s="130">
        <v>633</v>
      </c>
      <c r="I24" s="82">
        <f t="shared" si="2"/>
        <v>-22306.86</v>
      </c>
      <c r="J24" s="171"/>
      <c r="K24" s="171"/>
      <c r="M24" s="10"/>
      <c r="N24" s="341"/>
      <c r="O24" s="341"/>
      <c r="P24" s="341"/>
      <c r="Q24" s="341"/>
    </row>
    <row r="25" spans="2:17" ht="63.75">
      <c r="B25" s="102" t="s">
        <v>307</v>
      </c>
      <c r="C25" s="83" t="s">
        <v>303</v>
      </c>
      <c r="D25" s="77" t="s">
        <v>300</v>
      </c>
      <c r="E25" s="280">
        <v>0.71</v>
      </c>
      <c r="F25" s="230">
        <v>1.44</v>
      </c>
      <c r="G25" s="80">
        <f t="shared" si="0"/>
        <v>5652.9877808144756</v>
      </c>
      <c r="H25" s="81">
        <f t="shared" ref="H25:H27" si="4">($P$15/$P$16*E25)+($Q$15/$Q$16*F25)</f>
        <v>5609.7181623059405</v>
      </c>
      <c r="I25" s="82">
        <f t="shared" si="2"/>
        <v>-43.269618508535132</v>
      </c>
      <c r="J25" s="171"/>
      <c r="K25" s="171"/>
      <c r="L25" s="279"/>
      <c r="M25" s="10"/>
      <c r="N25" s="341"/>
      <c r="O25" s="341"/>
      <c r="P25" s="341"/>
      <c r="Q25" s="341"/>
    </row>
    <row r="26" spans="2:17" ht="63.75">
      <c r="B26" s="102" t="s">
        <v>283</v>
      </c>
      <c r="C26" s="83" t="s">
        <v>303</v>
      </c>
      <c r="D26" s="77" t="s">
        <v>300</v>
      </c>
      <c r="E26" s="280">
        <v>0.25</v>
      </c>
      <c r="F26" s="230">
        <v>0.83</v>
      </c>
      <c r="G26" s="80">
        <f t="shared" si="0"/>
        <v>2836.5117006205733</v>
      </c>
      <c r="H26" s="81">
        <f t="shared" si="4"/>
        <v>2813.5403124804106</v>
      </c>
      <c r="I26" s="82">
        <f t="shared" si="2"/>
        <v>-22.971388140162617</v>
      </c>
      <c r="J26" s="171"/>
      <c r="K26" s="171"/>
      <c r="L26" s="85"/>
      <c r="M26" s="10"/>
      <c r="N26" s="345"/>
      <c r="O26" s="345"/>
      <c r="P26" s="341"/>
      <c r="Q26" s="341"/>
    </row>
    <row r="27" spans="2:17">
      <c r="B27" s="84" t="s">
        <v>273</v>
      </c>
      <c r="C27" s="86" t="s">
        <v>303</v>
      </c>
      <c r="D27" s="77" t="s">
        <v>300</v>
      </c>
      <c r="E27" s="280">
        <v>0.05</v>
      </c>
      <c r="F27" s="230">
        <v>0.05</v>
      </c>
      <c r="G27" s="80">
        <f t="shared" si="0"/>
        <v>263.42768674648448</v>
      </c>
      <c r="H27" s="81">
        <f t="shared" si="4"/>
        <v>261.61188530892832</v>
      </c>
      <c r="I27" s="82">
        <f t="shared" si="2"/>
        <v>-1.8158014375561606</v>
      </c>
      <c r="J27" s="171"/>
      <c r="K27" s="171"/>
      <c r="N27" s="341"/>
      <c r="O27" s="341"/>
      <c r="P27" s="341"/>
      <c r="Q27" s="341"/>
    </row>
    <row r="28" spans="2:17" ht="16.5" thickBot="1">
      <c r="B28" s="55" t="s">
        <v>278</v>
      </c>
      <c r="C28" s="87"/>
      <c r="D28" s="87"/>
      <c r="E28" s="54">
        <f>SUM(E16:E27)</f>
        <v>14.220000000000002</v>
      </c>
      <c r="F28" s="88">
        <f>SUM(F16:F27)</f>
        <v>15.360000000000001</v>
      </c>
      <c r="G28" s="173">
        <f>SUM(G16:G27)</f>
        <v>77798.039999999994</v>
      </c>
      <c r="H28" s="174">
        <f>SUM(H16:H27)</f>
        <v>55229.719000000012</v>
      </c>
      <c r="I28" s="175">
        <f>H28-G28</f>
        <v>-22568.320999999982</v>
      </c>
      <c r="J28" s="172"/>
      <c r="K28" s="172"/>
      <c r="N28" s="341"/>
      <c r="O28" s="341"/>
      <c r="P28" s="341"/>
      <c r="Q28" s="341"/>
    </row>
    <row r="29" spans="2:17">
      <c r="B29" s="10"/>
      <c r="C29" s="10"/>
      <c r="D29" s="10"/>
      <c r="E29" s="46"/>
      <c r="F29" s="46"/>
      <c r="G29" s="46"/>
      <c r="H29" s="46"/>
      <c r="I29" s="3"/>
      <c r="J29" s="3"/>
      <c r="K29" s="3"/>
      <c r="N29" s="341"/>
      <c r="O29" s="341"/>
      <c r="P29" s="341"/>
      <c r="Q29" s="341"/>
    </row>
    <row r="30" spans="2:17" ht="16.5" thickBot="1">
      <c r="B30" s="289" t="s">
        <v>308</v>
      </c>
      <c r="C30" s="289"/>
      <c r="D30" s="289"/>
      <c r="E30" s="289"/>
      <c r="F30" s="289"/>
      <c r="G30" s="289"/>
      <c r="H30" s="289"/>
      <c r="I30" s="289"/>
      <c r="J30" s="276"/>
      <c r="K30" s="276"/>
      <c r="N30" s="341"/>
      <c r="O30" s="341"/>
      <c r="P30" s="341"/>
      <c r="Q30" s="341"/>
    </row>
    <row r="31" spans="2:17" ht="44.25" customHeight="1">
      <c r="B31" s="56"/>
      <c r="C31" s="91"/>
      <c r="D31" s="290" t="s">
        <v>309</v>
      </c>
      <c r="E31" s="291"/>
      <c r="F31" s="292" t="s">
        <v>8</v>
      </c>
      <c r="G31" s="293"/>
      <c r="H31" s="292" t="s">
        <v>9</v>
      </c>
      <c r="I31" s="294"/>
      <c r="J31" s="279"/>
      <c r="K31" s="279"/>
      <c r="L31" s="44"/>
      <c r="M31" s="283"/>
      <c r="N31" s="345"/>
      <c r="O31" s="345"/>
      <c r="P31" s="345"/>
      <c r="Q31" s="345"/>
    </row>
    <row r="32" spans="2:17">
      <c r="B32" s="57" t="s">
        <v>18</v>
      </c>
      <c r="C32" s="94"/>
      <c r="D32" s="295">
        <f>F32+H32</f>
        <v>77698.040000000008</v>
      </c>
      <c r="E32" s="296"/>
      <c r="F32" s="295">
        <f>21059.11+23655.07+10044</f>
        <v>54758.18</v>
      </c>
      <c r="G32" s="296"/>
      <c r="H32" s="295">
        <f>G24</f>
        <v>22939.86</v>
      </c>
      <c r="I32" s="297"/>
      <c r="J32" s="278"/>
      <c r="K32" s="278"/>
      <c r="L32" s="5"/>
      <c r="M32" s="5"/>
      <c r="N32" s="341"/>
      <c r="O32" s="341"/>
      <c r="P32" s="341"/>
      <c r="Q32" s="341"/>
    </row>
    <row r="33" spans="2:17">
      <c r="B33" s="57" t="s">
        <v>19</v>
      </c>
      <c r="C33" s="94"/>
      <c r="D33" s="295">
        <f>F33+H33</f>
        <v>68895.990000000005</v>
      </c>
      <c r="E33" s="296"/>
      <c r="F33" s="295">
        <f>18657.31+20957.2+8957.92</f>
        <v>48572.43</v>
      </c>
      <c r="G33" s="296"/>
      <c r="H33" s="295">
        <v>20323.560000000001</v>
      </c>
      <c r="I33" s="297"/>
      <c r="J33" s="278"/>
      <c r="K33" s="278"/>
      <c r="L33" s="42"/>
      <c r="M33" s="5"/>
      <c r="N33" s="341"/>
      <c r="O33" s="341"/>
      <c r="P33" s="341"/>
      <c r="Q33" s="341"/>
    </row>
    <row r="34" spans="2:17" ht="16.5" thickBot="1">
      <c r="B34" s="58" t="s">
        <v>277</v>
      </c>
      <c r="C34" s="96"/>
      <c r="D34" s="314">
        <f>F34+H34</f>
        <v>55229.719000000012</v>
      </c>
      <c r="E34" s="315"/>
      <c r="F34" s="314">
        <f>H16+H17+H18+H19+H20+H21+H22+H23+H25+H26+H27</f>
        <v>54596.719000000012</v>
      </c>
      <c r="G34" s="315"/>
      <c r="H34" s="314">
        <f>H24</f>
        <v>633</v>
      </c>
      <c r="I34" s="316"/>
      <c r="J34" s="278"/>
      <c r="K34" s="278"/>
      <c r="L34" s="5"/>
      <c r="M34" s="5"/>
      <c r="N34" s="341"/>
      <c r="O34" s="341"/>
      <c r="P34" s="341"/>
      <c r="Q34" s="341"/>
    </row>
    <row r="35" spans="2:17" ht="27" thickBot="1">
      <c r="B35" s="60" t="s">
        <v>245</v>
      </c>
      <c r="C35" s="98"/>
      <c r="D35" s="317">
        <f>F35+H35</f>
        <v>13666.27099999999</v>
      </c>
      <c r="E35" s="318"/>
      <c r="F35" s="319">
        <f>F33-F34</f>
        <v>-6024.2890000000116</v>
      </c>
      <c r="G35" s="320"/>
      <c r="H35" s="319">
        <f>H33-H34</f>
        <v>19690.560000000001</v>
      </c>
      <c r="I35" s="321"/>
      <c r="J35" s="278"/>
      <c r="K35" s="278"/>
      <c r="L35" s="5"/>
      <c r="M35" s="5"/>
      <c r="N35" s="341"/>
      <c r="O35" s="341"/>
      <c r="P35" s="341"/>
      <c r="Q35" s="341"/>
    </row>
    <row r="36" spans="2:17" ht="34.5" customHeight="1">
      <c r="B36" s="275" t="s">
        <v>267</v>
      </c>
      <c r="C36" s="275"/>
      <c r="D36" s="131"/>
      <c r="E36" s="322" t="s">
        <v>10</v>
      </c>
      <c r="F36" s="322"/>
      <c r="G36" s="287" t="s">
        <v>11</v>
      </c>
      <c r="H36" s="287"/>
      <c r="I36" s="275"/>
      <c r="J36" s="275"/>
      <c r="K36" s="275"/>
      <c r="L36" s="6"/>
      <c r="M36" s="6"/>
      <c r="N36" s="344"/>
      <c r="O36" s="344"/>
      <c r="P36" s="344"/>
      <c r="Q36" s="344"/>
    </row>
    <row r="37" spans="2:17" ht="11.25" customHeight="1">
      <c r="B37" s="275"/>
      <c r="C37" s="275"/>
      <c r="D37" s="275"/>
      <c r="E37" s="285" t="s">
        <v>12</v>
      </c>
      <c r="F37" s="285"/>
      <c r="G37" s="288"/>
      <c r="H37" s="288"/>
      <c r="I37" s="277"/>
      <c r="J37" s="277"/>
      <c r="K37" s="277"/>
      <c r="L37" s="6"/>
      <c r="M37" s="6"/>
      <c r="N37" s="344"/>
      <c r="O37" s="344"/>
      <c r="P37" s="344"/>
      <c r="Q37" s="344"/>
    </row>
    <row r="38" spans="2:17">
      <c r="B38" s="275" t="s">
        <v>268</v>
      </c>
      <c r="C38" s="275"/>
      <c r="D38" s="275"/>
      <c r="E38" s="286" t="s">
        <v>10</v>
      </c>
      <c r="F38" s="286"/>
      <c r="G38" s="287" t="s">
        <v>312</v>
      </c>
      <c r="H38" s="287"/>
      <c r="I38" s="275"/>
      <c r="J38" s="275"/>
      <c r="K38" s="275"/>
      <c r="L38" s="6"/>
      <c r="M38" s="6"/>
      <c r="N38" s="344"/>
      <c r="O38" s="344"/>
      <c r="P38" s="344"/>
      <c r="Q38" s="344"/>
    </row>
    <row r="39" spans="2:17" ht="9.75" customHeight="1">
      <c r="B39" s="275"/>
      <c r="C39" s="275"/>
      <c r="D39" s="275"/>
      <c r="E39" s="285" t="s">
        <v>12</v>
      </c>
      <c r="F39" s="285"/>
      <c r="G39" s="287"/>
      <c r="H39" s="287"/>
      <c r="I39" s="275"/>
      <c r="J39" s="275"/>
      <c r="K39" s="275"/>
      <c r="N39" s="341"/>
      <c r="O39" s="341"/>
      <c r="P39" s="341"/>
      <c r="Q39" s="341"/>
    </row>
    <row r="40" spans="2:17">
      <c r="B40" s="275" t="s">
        <v>269</v>
      </c>
      <c r="C40" s="275"/>
      <c r="D40" s="275"/>
      <c r="E40" s="286" t="s">
        <v>10</v>
      </c>
      <c r="F40" s="286"/>
      <c r="G40" s="287" t="s">
        <v>313</v>
      </c>
      <c r="H40" s="287"/>
      <c r="I40" s="275"/>
      <c r="J40" s="275"/>
      <c r="K40" s="275"/>
      <c r="N40" s="341"/>
      <c r="O40" s="341"/>
      <c r="P40" s="341"/>
      <c r="Q40" s="341"/>
    </row>
    <row r="41" spans="2:17" ht="8.25" customHeight="1">
      <c r="B41" s="61"/>
      <c r="C41" s="61"/>
      <c r="D41" s="61"/>
      <c r="E41" s="285" t="s">
        <v>12</v>
      </c>
      <c r="F41" s="285"/>
      <c r="G41" s="100"/>
      <c r="H41" s="117"/>
      <c r="I41" s="282"/>
      <c r="J41" s="282"/>
      <c r="K41" s="282"/>
      <c r="N41" s="341"/>
      <c r="O41" s="341"/>
      <c r="P41" s="341"/>
      <c r="Q41" s="341"/>
    </row>
    <row r="42" spans="2:17">
      <c r="B42" s="275" t="s">
        <v>270</v>
      </c>
      <c r="C42" s="275"/>
      <c r="D42" s="275"/>
      <c r="E42" s="286" t="s">
        <v>10</v>
      </c>
      <c r="F42" s="286"/>
      <c r="G42" s="287" t="s">
        <v>244</v>
      </c>
      <c r="H42" s="287"/>
    </row>
    <row r="43" spans="2:17" ht="8.25" customHeight="1">
      <c r="E43" s="285" t="s">
        <v>12</v>
      </c>
      <c r="F43" s="285"/>
    </row>
  </sheetData>
  <mergeCells count="41">
    <mergeCell ref="E40:F40"/>
    <mergeCell ref="G40:H40"/>
    <mergeCell ref="E41:F41"/>
    <mergeCell ref="E42:F42"/>
    <mergeCell ref="G42:H42"/>
    <mergeCell ref="E37:F37"/>
    <mergeCell ref="G37:H37"/>
    <mergeCell ref="E38:F38"/>
    <mergeCell ref="G38:H38"/>
    <mergeCell ref="G39:H39"/>
    <mergeCell ref="E39:F39"/>
    <mergeCell ref="D35:E35"/>
    <mergeCell ref="F35:G35"/>
    <mergeCell ref="H35:I35"/>
    <mergeCell ref="E36:F36"/>
    <mergeCell ref="G36:H36"/>
    <mergeCell ref="B2:I3"/>
    <mergeCell ref="B13:I13"/>
    <mergeCell ref="B14:B15"/>
    <mergeCell ref="C14:C15"/>
    <mergeCell ref="D14:D15"/>
    <mergeCell ref="E14:E15"/>
    <mergeCell ref="F14:F15"/>
    <mergeCell ref="G14:H14"/>
    <mergeCell ref="I14:I15"/>
    <mergeCell ref="E43:F43"/>
    <mergeCell ref="D5:F5"/>
    <mergeCell ref="D12:E12"/>
    <mergeCell ref="B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67</vt:i4>
      </vt:variant>
    </vt:vector>
  </HeadingPairs>
  <TitlesOfParts>
    <vt:vector size="67" baseType="lpstr">
      <vt:lpstr>айв.16</vt:lpstr>
      <vt:lpstr>айв. 18</vt:lpstr>
      <vt:lpstr>айв.20</vt:lpstr>
      <vt:lpstr>В Р 36</vt:lpstr>
      <vt:lpstr>Гр.1</vt:lpstr>
      <vt:lpstr>Гр.3</vt:lpstr>
      <vt:lpstr>Грес.7</vt:lpstr>
      <vt:lpstr>Гр.15</vt:lpstr>
      <vt:lpstr>Гр.17</vt:lpstr>
      <vt:lpstr>Гр.19</vt:lpstr>
      <vt:lpstr>дем.18</vt:lpstr>
      <vt:lpstr>дем.20</vt:lpstr>
      <vt:lpstr>дем.22</vt:lpstr>
      <vt:lpstr>дем.24</vt:lpstr>
      <vt:lpstr>зем.13</vt:lpstr>
      <vt:lpstr>зем. 15</vt:lpstr>
      <vt:lpstr>зем.22</vt:lpstr>
      <vt:lpstr>Зем.24</vt:lpstr>
      <vt:lpstr>либ.1</vt:lpstr>
      <vt:lpstr>либ.2</vt:lpstr>
      <vt:lpstr>либ.11</vt:lpstr>
      <vt:lpstr>либ.11а</vt:lpstr>
      <vt:lpstr>либ.12</vt:lpstr>
      <vt:lpstr>либ.14</vt:lpstr>
      <vt:lpstr>либ.17</vt:lpstr>
      <vt:lpstr>либ.23</vt:lpstr>
      <vt:lpstr>К.М.60</vt:lpstr>
      <vt:lpstr>К.М.62</vt:lpstr>
      <vt:lpstr>крас.19</vt:lpstr>
      <vt:lpstr>красноф.21</vt:lpstr>
      <vt:lpstr>Пич.1</vt:lpstr>
      <vt:lpstr>пич.3</vt:lpstr>
      <vt:lpstr>пич.5</vt:lpstr>
      <vt:lpstr>пич.9</vt:lpstr>
      <vt:lpstr>пич.9а</vt:lpstr>
      <vt:lpstr>пич.10</vt:lpstr>
      <vt:lpstr>пич.11</vt:lpstr>
      <vt:lpstr>пич.12</vt:lpstr>
      <vt:lpstr>пич.13</vt:lpstr>
      <vt:lpstr>пич.14</vt:lpstr>
      <vt:lpstr>пич.15</vt:lpstr>
      <vt:lpstr>пич.16</vt:lpstr>
      <vt:lpstr>пич.17</vt:lpstr>
      <vt:lpstr>пич.19</vt:lpstr>
      <vt:lpstr>пич.20</vt:lpstr>
      <vt:lpstr>пич.21</vt:lpstr>
      <vt:lpstr>пич.22</vt:lpstr>
      <vt:lpstr>пич.23</vt:lpstr>
      <vt:lpstr>пич.24</vt:lpstr>
      <vt:lpstr>люкс.2</vt:lpstr>
      <vt:lpstr>люкс.2а</vt:lpstr>
      <vt:lpstr>Северная 4</vt:lpstr>
      <vt:lpstr>сед.4а</vt:lpstr>
      <vt:lpstr>сед.8а</vt:lpstr>
      <vt:lpstr>сед.15</vt:lpstr>
      <vt:lpstr>сед.15а</vt:lpstr>
      <vt:lpstr>сед.21</vt:lpstr>
      <vt:lpstr>сед.23</vt:lpstr>
      <vt:lpstr>сед.25</vt:lpstr>
      <vt:lpstr>ст.раз.28</vt:lpstr>
      <vt:lpstr>шаум.2а</vt:lpstr>
      <vt:lpstr>тр.2а</vt:lpstr>
      <vt:lpstr>тр.4а</vt:lpstr>
      <vt:lpstr>тр.7а</vt:lpstr>
      <vt:lpstr>тр.36а</vt:lpstr>
      <vt:lpstr>тр.40а</vt:lpstr>
      <vt:lpstr>щорса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2016-06-06T06:34:22Z</dcterms:modified>
</cp:coreProperties>
</file>