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вой.64" sheetId="1" r:id="rId1"/>
    <sheet name="вой.66" sheetId="2" r:id="rId2"/>
    <sheet name="коп.3" sheetId="3" r:id="rId3"/>
    <sheet name="коп.5" sheetId="4" r:id="rId4"/>
    <sheet name="коп.7" sheetId="5" r:id="rId5"/>
    <sheet name="коп.8" sheetId="6" r:id="rId6"/>
    <sheet name="коп.10" sheetId="7" r:id="rId7"/>
    <sheet name="коп.15" sheetId="8" r:id="rId8"/>
    <sheet name="коп.17" sheetId="9" r:id="rId9"/>
    <sheet name="коп.19" sheetId="10" r:id="rId10"/>
    <sheet name="коп.23" sheetId="12" r:id="rId11"/>
    <sheet name="коп.25" sheetId="13" r:id="rId12"/>
    <sheet name="лин.21" sheetId="14" r:id="rId13"/>
    <sheet name="лин.23" sheetId="15" r:id="rId14"/>
    <sheet name="лин.25" sheetId="16" r:id="rId15"/>
    <sheet name="лин.27" sheetId="17" r:id="rId16"/>
    <sheet name="лин.30" sheetId="18" r:id="rId17"/>
    <sheet name="маг.4" sheetId="19" r:id="rId18"/>
    <sheet name="маг.6" sheetId="20" r:id="rId19"/>
    <sheet name="мар.рас.16" sheetId="21" r:id="rId20"/>
    <sheet name="мар.рас.22" sheetId="22" r:id="rId21"/>
    <sheet name="перс.1" sheetId="23" r:id="rId22"/>
    <sheet name="перс.3" sheetId="24" r:id="rId23"/>
    <sheet name="фест.4" sheetId="25" r:id="rId24"/>
    <sheet name="фест.8" sheetId="26" r:id="rId25"/>
    <sheet name="фест.10" sheetId="27" r:id="rId26"/>
  </sheets>
  <calcPr calcId="124519"/>
</workbook>
</file>

<file path=xl/calcChain.xml><?xml version="1.0" encoding="utf-8"?>
<calcChain xmlns="http://schemas.openxmlformats.org/spreadsheetml/2006/main">
  <c r="F33" i="27"/>
  <c r="D33" s="1"/>
  <c r="F32"/>
  <c r="Q15"/>
  <c r="H25" s="1"/>
  <c r="P15"/>
  <c r="G27"/>
  <c r="H34"/>
  <c r="H35"/>
  <c r="H32"/>
  <c r="D32"/>
  <c r="F28"/>
  <c r="E28"/>
  <c r="N26"/>
  <c r="I24"/>
  <c r="I22"/>
  <c r="G21"/>
  <c r="G19"/>
  <c r="G17"/>
  <c r="H33" i="26"/>
  <c r="F33"/>
  <c r="F32"/>
  <c r="Q15"/>
  <c r="P15"/>
  <c r="G27"/>
  <c r="H34"/>
  <c r="H35" s="1"/>
  <c r="H32"/>
  <c r="D32"/>
  <c r="F28"/>
  <c r="E28"/>
  <c r="N26"/>
  <c r="G25"/>
  <c r="I24"/>
  <c r="G23"/>
  <c r="I22"/>
  <c r="G21"/>
  <c r="G19"/>
  <c r="G17"/>
  <c r="H25"/>
  <c r="F33" i="25"/>
  <c r="F32"/>
  <c r="Q15"/>
  <c r="P15"/>
  <c r="F28"/>
  <c r="E28"/>
  <c r="N26"/>
  <c r="G20"/>
  <c r="G18"/>
  <c r="G16"/>
  <c r="H33" i="22"/>
  <c r="F33"/>
  <c r="F32"/>
  <c r="G27"/>
  <c r="E21"/>
  <c r="E28" s="1"/>
  <c r="G23"/>
  <c r="H35"/>
  <c r="H34"/>
  <c r="H32"/>
  <c r="F28"/>
  <c r="H27"/>
  <c r="H26"/>
  <c r="H25"/>
  <c r="I24"/>
  <c r="H23"/>
  <c r="I22"/>
  <c r="H21"/>
  <c r="G21"/>
  <c r="H20"/>
  <c r="G20"/>
  <c r="H19"/>
  <c r="G19"/>
  <c r="H18"/>
  <c r="G18"/>
  <c r="H17"/>
  <c r="G17"/>
  <c r="H16"/>
  <c r="G16"/>
  <c r="R15"/>
  <c r="F33" i="21"/>
  <c r="F32"/>
  <c r="H34"/>
  <c r="H35" s="1"/>
  <c r="F28"/>
  <c r="E28"/>
  <c r="G27"/>
  <c r="G25"/>
  <c r="G23"/>
  <c r="G21"/>
  <c r="G20"/>
  <c r="G19"/>
  <c r="G18"/>
  <c r="G17"/>
  <c r="G16"/>
  <c r="H27"/>
  <c r="F33" i="20"/>
  <c r="F32"/>
  <c r="Q15"/>
  <c r="P15"/>
  <c r="H32"/>
  <c r="H34"/>
  <c r="H35" s="1"/>
  <c r="F28"/>
  <c r="E28"/>
  <c r="G27"/>
  <c r="G26"/>
  <c r="G25"/>
  <c r="G23"/>
  <c r="G21"/>
  <c r="G20"/>
  <c r="G19"/>
  <c r="G18"/>
  <c r="G17"/>
  <c r="G16"/>
  <c r="F32" i="18"/>
  <c r="F33"/>
  <c r="Q15"/>
  <c r="P15"/>
  <c r="H32"/>
  <c r="D32" s="1"/>
  <c r="H34"/>
  <c r="D33"/>
  <c r="F28"/>
  <c r="E28"/>
  <c r="G26"/>
  <c r="H34" i="17"/>
  <c r="H33"/>
  <c r="H35" s="1"/>
  <c r="F33"/>
  <c r="D33"/>
  <c r="H32"/>
  <c r="F32"/>
  <c r="D32"/>
  <c r="F28"/>
  <c r="E28"/>
  <c r="I24"/>
  <c r="I22"/>
  <c r="O16"/>
  <c r="N16"/>
  <c r="G27" s="1"/>
  <c r="G16"/>
  <c r="Q15"/>
  <c r="P15"/>
  <c r="H26" s="1"/>
  <c r="H33" i="16"/>
  <c r="F33"/>
  <c r="F32"/>
  <c r="D32" s="1"/>
  <c r="Q15"/>
  <c r="P15"/>
  <c r="O16"/>
  <c r="N16"/>
  <c r="G16" s="1"/>
  <c r="H34"/>
  <c r="H32"/>
  <c r="F28"/>
  <c r="E28"/>
  <c r="I24"/>
  <c r="I22"/>
  <c r="G26"/>
  <c r="F33" i="15"/>
  <c r="F32"/>
  <c r="Q15"/>
  <c r="P15"/>
  <c r="O16"/>
  <c r="N16"/>
  <c r="F28"/>
  <c r="E28"/>
  <c r="G16"/>
  <c r="H27"/>
  <c r="F33" i="14"/>
  <c r="F32"/>
  <c r="Q15"/>
  <c r="H34" s="1"/>
  <c r="H35" s="1"/>
  <c r="P15"/>
  <c r="O16"/>
  <c r="H32" s="1"/>
  <c r="D32" s="1"/>
  <c r="N16"/>
  <c r="E27"/>
  <c r="E28" s="1"/>
  <c r="F28"/>
  <c r="G27"/>
  <c r="G25"/>
  <c r="G23"/>
  <c r="G21"/>
  <c r="G19"/>
  <c r="G17"/>
  <c r="H27"/>
  <c r="I27" s="1"/>
  <c r="F33" i="13"/>
  <c r="F32"/>
  <c r="Q15"/>
  <c r="P15"/>
  <c r="G27"/>
  <c r="H34"/>
  <c r="H35" s="1"/>
  <c r="H32"/>
  <c r="D32"/>
  <c r="F28"/>
  <c r="E28"/>
  <c r="G26"/>
  <c r="I24"/>
  <c r="G23"/>
  <c r="I22"/>
  <c r="G21"/>
  <c r="G20"/>
  <c r="G19"/>
  <c r="G18"/>
  <c r="G17"/>
  <c r="G16"/>
  <c r="F33" i="12"/>
  <c r="F32"/>
  <c r="H32"/>
  <c r="H34"/>
  <c r="H35" s="1"/>
  <c r="F28"/>
  <c r="E28"/>
  <c r="G27"/>
  <c r="G26"/>
  <c r="G25"/>
  <c r="I24"/>
  <c r="G23"/>
  <c r="I22"/>
  <c r="G21"/>
  <c r="G20"/>
  <c r="G19"/>
  <c r="G18"/>
  <c r="G17"/>
  <c r="G16"/>
  <c r="F33" i="10"/>
  <c r="F32"/>
  <c r="Q15"/>
  <c r="H27" s="1"/>
  <c r="I27" s="1"/>
  <c r="P15"/>
  <c r="H32"/>
  <c r="H34"/>
  <c r="H35" s="1"/>
  <c r="I22"/>
  <c r="F28"/>
  <c r="G27"/>
  <c r="G26"/>
  <c r="G25"/>
  <c r="I24"/>
  <c r="G23"/>
  <c r="E28"/>
  <c r="G20"/>
  <c r="G19"/>
  <c r="G18"/>
  <c r="G17"/>
  <c r="G16"/>
  <c r="G23" i="27" l="1"/>
  <c r="G25"/>
  <c r="G16"/>
  <c r="G18"/>
  <c r="G20"/>
  <c r="G28" s="1"/>
  <c r="G26"/>
  <c r="I25"/>
  <c r="R15"/>
  <c r="H16"/>
  <c r="H18"/>
  <c r="H20"/>
  <c r="H26"/>
  <c r="I26" s="1"/>
  <c r="H27"/>
  <c r="I27" s="1"/>
  <c r="H17"/>
  <c r="I17" s="1"/>
  <c r="H19"/>
  <c r="I19" s="1"/>
  <c r="H21"/>
  <c r="I21" s="1"/>
  <c r="H23"/>
  <c r="H27" i="26"/>
  <c r="I25"/>
  <c r="I27"/>
  <c r="G16"/>
  <c r="G18"/>
  <c r="G20"/>
  <c r="G26"/>
  <c r="H17"/>
  <c r="I17" s="1"/>
  <c r="H19"/>
  <c r="I19" s="1"/>
  <c r="H21"/>
  <c r="I21" s="1"/>
  <c r="H23"/>
  <c r="I23" s="1"/>
  <c r="R15"/>
  <c r="H16"/>
  <c r="H18"/>
  <c r="I18" s="1"/>
  <c r="H20"/>
  <c r="H26"/>
  <c r="I26" s="1"/>
  <c r="D33"/>
  <c r="H34" i="25"/>
  <c r="H35" s="1"/>
  <c r="H27"/>
  <c r="I27" s="1"/>
  <c r="G26"/>
  <c r="G27"/>
  <c r="H32"/>
  <c r="D32" s="1"/>
  <c r="I24"/>
  <c r="G17"/>
  <c r="G19"/>
  <c r="G21"/>
  <c r="G23"/>
  <c r="G25"/>
  <c r="I22"/>
  <c r="R15"/>
  <c r="H16"/>
  <c r="H18"/>
  <c r="I18" s="1"/>
  <c r="H20"/>
  <c r="I20" s="1"/>
  <c r="H26"/>
  <c r="I26" s="1"/>
  <c r="H17"/>
  <c r="I17" s="1"/>
  <c r="H19"/>
  <c r="I19" s="1"/>
  <c r="H21"/>
  <c r="I21" s="1"/>
  <c r="H23"/>
  <c r="H25"/>
  <c r="I25" s="1"/>
  <c r="D33"/>
  <c r="D32" i="22"/>
  <c r="G25"/>
  <c r="G28" s="1"/>
  <c r="G26"/>
  <c r="I16"/>
  <c r="I17"/>
  <c r="I18"/>
  <c r="I19"/>
  <c r="I20"/>
  <c r="I21"/>
  <c r="I25"/>
  <c r="I26"/>
  <c r="I27"/>
  <c r="I23"/>
  <c r="H28"/>
  <c r="F34"/>
  <c r="D34" s="1"/>
  <c r="D33"/>
  <c r="I27" i="21"/>
  <c r="H32"/>
  <c r="D32" s="1"/>
  <c r="I24"/>
  <c r="G26"/>
  <c r="I22"/>
  <c r="R15"/>
  <c r="H16"/>
  <c r="H18"/>
  <c r="I18" s="1"/>
  <c r="H20"/>
  <c r="I20" s="1"/>
  <c r="H26"/>
  <c r="I26" s="1"/>
  <c r="H17"/>
  <c r="I17" s="1"/>
  <c r="H19"/>
  <c r="I19" s="1"/>
  <c r="H21"/>
  <c r="I21" s="1"/>
  <c r="H23"/>
  <c r="I23" s="1"/>
  <c r="H25"/>
  <c r="I25" s="1"/>
  <c r="D33"/>
  <c r="D32" i="20"/>
  <c r="H27"/>
  <c r="I27" s="1"/>
  <c r="G28"/>
  <c r="I22"/>
  <c r="I24"/>
  <c r="R15"/>
  <c r="H16"/>
  <c r="H18"/>
  <c r="I18" s="1"/>
  <c r="H20"/>
  <c r="I20" s="1"/>
  <c r="H26"/>
  <c r="I26" s="1"/>
  <c r="H17"/>
  <c r="I17" s="1"/>
  <c r="H19"/>
  <c r="I19" s="1"/>
  <c r="H21"/>
  <c r="I21" s="1"/>
  <c r="H23"/>
  <c r="I23" s="1"/>
  <c r="H25"/>
  <c r="I25" s="1"/>
  <c r="D33"/>
  <c r="H27" i="18"/>
  <c r="I24"/>
  <c r="I22"/>
  <c r="H35"/>
  <c r="R15"/>
  <c r="H16"/>
  <c r="G17"/>
  <c r="H18"/>
  <c r="G19"/>
  <c r="H20"/>
  <c r="G21"/>
  <c r="G23"/>
  <c r="G25"/>
  <c r="H26"/>
  <c r="I26" s="1"/>
  <c r="G27"/>
  <c r="I27" s="1"/>
  <c r="G16"/>
  <c r="H17"/>
  <c r="I17" s="1"/>
  <c r="G18"/>
  <c r="H19"/>
  <c r="I19" s="1"/>
  <c r="G20"/>
  <c r="H21"/>
  <c r="I21" s="1"/>
  <c r="H23"/>
  <c r="H25"/>
  <c r="I25" s="1"/>
  <c r="H17" i="17"/>
  <c r="G18"/>
  <c r="H19"/>
  <c r="G20"/>
  <c r="H21"/>
  <c r="H23"/>
  <c r="H25"/>
  <c r="G26"/>
  <c r="I26" s="1"/>
  <c r="H27"/>
  <c r="I27" s="1"/>
  <c r="R15"/>
  <c r="H16"/>
  <c r="G17"/>
  <c r="G28" s="1"/>
  <c r="H18"/>
  <c r="I18" s="1"/>
  <c r="G19"/>
  <c r="H20"/>
  <c r="I20" s="1"/>
  <c r="G21"/>
  <c r="G23"/>
  <c r="G25"/>
  <c r="H35" i="16"/>
  <c r="H27"/>
  <c r="R15"/>
  <c r="H16"/>
  <c r="G17"/>
  <c r="H18"/>
  <c r="G19"/>
  <c r="H20"/>
  <c r="G21"/>
  <c r="G23"/>
  <c r="G25"/>
  <c r="H26"/>
  <c r="I26" s="1"/>
  <c r="G27"/>
  <c r="I27" s="1"/>
  <c r="H17"/>
  <c r="G18"/>
  <c r="H19"/>
  <c r="G20"/>
  <c r="H21"/>
  <c r="H23"/>
  <c r="H25"/>
  <c r="D33"/>
  <c r="H34" i="15"/>
  <c r="H35" s="1"/>
  <c r="H32"/>
  <c r="D32" s="1"/>
  <c r="G25"/>
  <c r="I22"/>
  <c r="H17"/>
  <c r="G18"/>
  <c r="H19"/>
  <c r="G20"/>
  <c r="H21"/>
  <c r="H23"/>
  <c r="H25"/>
  <c r="I25" s="1"/>
  <c r="G26"/>
  <c r="G27"/>
  <c r="I27" s="1"/>
  <c r="R15"/>
  <c r="H16"/>
  <c r="G17"/>
  <c r="H18"/>
  <c r="G19"/>
  <c r="H20"/>
  <c r="G21"/>
  <c r="G23"/>
  <c r="H26"/>
  <c r="I26" s="1"/>
  <c r="D33"/>
  <c r="I22" i="14"/>
  <c r="G26"/>
  <c r="I24"/>
  <c r="G16"/>
  <c r="G18"/>
  <c r="G20"/>
  <c r="R15"/>
  <c r="H16"/>
  <c r="H18"/>
  <c r="I18" s="1"/>
  <c r="H20"/>
  <c r="I20" s="1"/>
  <c r="H26"/>
  <c r="I26" s="1"/>
  <c r="H17"/>
  <c r="I17" s="1"/>
  <c r="H19"/>
  <c r="I19" s="1"/>
  <c r="H21"/>
  <c r="I21" s="1"/>
  <c r="H23"/>
  <c r="I23" s="1"/>
  <c r="H25"/>
  <c r="I25" s="1"/>
  <c r="D33"/>
  <c r="H27" i="13"/>
  <c r="I27" s="1"/>
  <c r="G25"/>
  <c r="G28"/>
  <c r="R15"/>
  <c r="H16"/>
  <c r="H18"/>
  <c r="I18" s="1"/>
  <c r="H20"/>
  <c r="I20" s="1"/>
  <c r="H26"/>
  <c r="I26" s="1"/>
  <c r="H17"/>
  <c r="I17" s="1"/>
  <c r="H19"/>
  <c r="I19" s="1"/>
  <c r="H21"/>
  <c r="I21" s="1"/>
  <c r="H23"/>
  <c r="I23" s="1"/>
  <c r="H25"/>
  <c r="I25" s="1"/>
  <c r="D33"/>
  <c r="D32" i="12"/>
  <c r="H27"/>
  <c r="I27" s="1"/>
  <c r="G28"/>
  <c r="H16"/>
  <c r="H18"/>
  <c r="I18" s="1"/>
  <c r="H20"/>
  <c r="I20" s="1"/>
  <c r="H26"/>
  <c r="I26" s="1"/>
  <c r="H17"/>
  <c r="I17" s="1"/>
  <c r="H19"/>
  <c r="I19" s="1"/>
  <c r="H21"/>
  <c r="I21" s="1"/>
  <c r="H23"/>
  <c r="I23" s="1"/>
  <c r="H25"/>
  <c r="I25" s="1"/>
  <c r="D33"/>
  <c r="D32" i="10"/>
  <c r="R15"/>
  <c r="H16"/>
  <c r="H18"/>
  <c r="I18" s="1"/>
  <c r="H20"/>
  <c r="I20" s="1"/>
  <c r="H21"/>
  <c r="H23"/>
  <c r="I23" s="1"/>
  <c r="H26"/>
  <c r="I26" s="1"/>
  <c r="H17"/>
  <c r="I17" s="1"/>
  <c r="H19"/>
  <c r="I19" s="1"/>
  <c r="G21"/>
  <c r="G28" s="1"/>
  <c r="H25"/>
  <c r="I25" s="1"/>
  <c r="D33"/>
  <c r="F33" i="9"/>
  <c r="F32"/>
  <c r="Q15"/>
  <c r="H27" s="1"/>
  <c r="P15"/>
  <c r="E25"/>
  <c r="E21"/>
  <c r="H32"/>
  <c r="D32" s="1"/>
  <c r="H34"/>
  <c r="H35" s="1"/>
  <c r="F28"/>
  <c r="G27"/>
  <c r="G26"/>
  <c r="G25"/>
  <c r="G23"/>
  <c r="I22"/>
  <c r="H21"/>
  <c r="G21"/>
  <c r="H20"/>
  <c r="G20"/>
  <c r="H19"/>
  <c r="G19"/>
  <c r="H18"/>
  <c r="G18"/>
  <c r="H17"/>
  <c r="G17"/>
  <c r="H16"/>
  <c r="G16"/>
  <c r="R15"/>
  <c r="F33" i="8"/>
  <c r="F32"/>
  <c r="H25"/>
  <c r="H34"/>
  <c r="H35" s="1"/>
  <c r="H32"/>
  <c r="D32"/>
  <c r="F28"/>
  <c r="E28"/>
  <c r="G27"/>
  <c r="G26"/>
  <c r="G25"/>
  <c r="I24"/>
  <c r="G23"/>
  <c r="I22"/>
  <c r="G21"/>
  <c r="G20"/>
  <c r="G19"/>
  <c r="G18"/>
  <c r="G17"/>
  <c r="G16"/>
  <c r="G28" s="1"/>
  <c r="H27"/>
  <c r="I27" s="1"/>
  <c r="F33" i="7"/>
  <c r="F32"/>
  <c r="Q15"/>
  <c r="P15"/>
  <c r="H34"/>
  <c r="H35" s="1"/>
  <c r="H32"/>
  <c r="D32" s="1"/>
  <c r="F28"/>
  <c r="E28"/>
  <c r="G27"/>
  <c r="G26"/>
  <c r="G25"/>
  <c r="I24"/>
  <c r="G23"/>
  <c r="I22"/>
  <c r="G21"/>
  <c r="G20"/>
  <c r="G19"/>
  <c r="G18"/>
  <c r="G17"/>
  <c r="G16"/>
  <c r="F33" i="6"/>
  <c r="F32"/>
  <c r="Q15"/>
  <c r="P15"/>
  <c r="H32"/>
  <c r="D32"/>
  <c r="F28"/>
  <c r="E28"/>
  <c r="G27"/>
  <c r="G26"/>
  <c r="G25"/>
  <c r="G23"/>
  <c r="G21"/>
  <c r="G20"/>
  <c r="G19"/>
  <c r="G18"/>
  <c r="G17"/>
  <c r="G16"/>
  <c r="F33" i="5"/>
  <c r="F32"/>
  <c r="Q15"/>
  <c r="H34" s="1"/>
  <c r="H35" s="1"/>
  <c r="P15"/>
  <c r="H32"/>
  <c r="F28"/>
  <c r="E28"/>
  <c r="G27"/>
  <c r="G26"/>
  <c r="G25"/>
  <c r="G23"/>
  <c r="G21"/>
  <c r="G20"/>
  <c r="G19"/>
  <c r="G18"/>
  <c r="G17"/>
  <c r="G16"/>
  <c r="H27"/>
  <c r="I27" s="1"/>
  <c r="F33" i="4"/>
  <c r="F32"/>
  <c r="Q15"/>
  <c r="P15"/>
  <c r="H32"/>
  <c r="F28"/>
  <c r="E28"/>
  <c r="G27"/>
  <c r="G26"/>
  <c r="G25"/>
  <c r="G23"/>
  <c r="G21"/>
  <c r="G20"/>
  <c r="G19"/>
  <c r="G18"/>
  <c r="G17"/>
  <c r="G16"/>
  <c r="R15"/>
  <c r="F33" i="3"/>
  <c r="F32"/>
  <c r="H34"/>
  <c r="H35" s="1"/>
  <c r="H32"/>
  <c r="D32" s="1"/>
  <c r="F28"/>
  <c r="E28"/>
  <c r="G27"/>
  <c r="G26"/>
  <c r="G25"/>
  <c r="I24"/>
  <c r="G23"/>
  <c r="I22"/>
  <c r="G21"/>
  <c r="G20"/>
  <c r="G19"/>
  <c r="G18"/>
  <c r="G17"/>
  <c r="G16"/>
  <c r="H27"/>
  <c r="I27" s="1"/>
  <c r="F33" i="2"/>
  <c r="F32"/>
  <c r="Q15"/>
  <c r="H34" s="1"/>
  <c r="H35" s="1"/>
  <c r="P15"/>
  <c r="H32"/>
  <c r="D33"/>
  <c r="F28"/>
  <c r="E28"/>
  <c r="G27"/>
  <c r="G26"/>
  <c r="G25"/>
  <c r="G23"/>
  <c r="G21"/>
  <c r="G20"/>
  <c r="G19"/>
  <c r="G18"/>
  <c r="G17"/>
  <c r="G16"/>
  <c r="G28" s="1"/>
  <c r="H27"/>
  <c r="I27" s="1"/>
  <c r="F33" i="1"/>
  <c r="F32"/>
  <c r="Q15"/>
  <c r="P15"/>
  <c r="H27" s="1"/>
  <c r="H34"/>
  <c r="H35" s="1"/>
  <c r="H32"/>
  <c r="D32"/>
  <c r="F28"/>
  <c r="E28"/>
  <c r="G27"/>
  <c r="G26"/>
  <c r="G25"/>
  <c r="I24"/>
  <c r="G23"/>
  <c r="I22"/>
  <c r="G21"/>
  <c r="G20"/>
  <c r="G19"/>
  <c r="G18"/>
  <c r="G17"/>
  <c r="G16"/>
  <c r="I23" i="27" l="1"/>
  <c r="I20"/>
  <c r="I18"/>
  <c r="H28"/>
  <c r="I28" s="1"/>
  <c r="I16"/>
  <c r="F34"/>
  <c r="G28" i="26"/>
  <c r="I20"/>
  <c r="F34"/>
  <c r="H28"/>
  <c r="I16"/>
  <c r="G28" i="25"/>
  <c r="F34"/>
  <c r="I23"/>
  <c r="I16"/>
  <c r="H28"/>
  <c r="I28" s="1"/>
  <c r="I28" i="22"/>
  <c r="F35"/>
  <c r="D35" s="1"/>
  <c r="G28" i="21"/>
  <c r="I16"/>
  <c r="F34"/>
  <c r="H28"/>
  <c r="I16" i="20"/>
  <c r="F34"/>
  <c r="H28"/>
  <c r="I28" s="1"/>
  <c r="I20" i="18"/>
  <c r="I18"/>
  <c r="F34"/>
  <c r="I16"/>
  <c r="H28"/>
  <c r="I23"/>
  <c r="G28"/>
  <c r="I23" i="17"/>
  <c r="H28"/>
  <c r="I28" s="1"/>
  <c r="F34"/>
  <c r="I16"/>
  <c r="I25"/>
  <c r="I21"/>
  <c r="I19"/>
  <c r="I17"/>
  <c r="I17" i="16"/>
  <c r="G28"/>
  <c r="I25"/>
  <c r="I21"/>
  <c r="I19"/>
  <c r="I20"/>
  <c r="I18"/>
  <c r="I16"/>
  <c r="F34"/>
  <c r="H28"/>
  <c r="I28" s="1"/>
  <c r="I23"/>
  <c r="I24" i="15"/>
  <c r="I20"/>
  <c r="I18"/>
  <c r="G28"/>
  <c r="I23"/>
  <c r="F34"/>
  <c r="H28"/>
  <c r="I16"/>
  <c r="I21"/>
  <c r="I19"/>
  <c r="I17"/>
  <c r="G28" i="14"/>
  <c r="I16"/>
  <c r="F34"/>
  <c r="H28"/>
  <c r="I16" i="13"/>
  <c r="F34"/>
  <c r="H28"/>
  <c r="I28" s="1"/>
  <c r="I16" i="12"/>
  <c r="F34"/>
  <c r="H28"/>
  <c r="I28" s="1"/>
  <c r="I21" i="10"/>
  <c r="I16"/>
  <c r="F34"/>
  <c r="H28"/>
  <c r="I28" s="1"/>
  <c r="H26" i="9"/>
  <c r="I26" s="1"/>
  <c r="H23"/>
  <c r="H25"/>
  <c r="F34" s="1"/>
  <c r="D34" s="1"/>
  <c r="G28"/>
  <c r="E28"/>
  <c r="I24"/>
  <c r="I27"/>
  <c r="I25"/>
  <c r="I20"/>
  <c r="I19"/>
  <c r="I17"/>
  <c r="I18"/>
  <c r="I23"/>
  <c r="I21"/>
  <c r="H28"/>
  <c r="I16"/>
  <c r="D33"/>
  <c r="R15" i="8"/>
  <c r="H16"/>
  <c r="H18"/>
  <c r="I18" s="1"/>
  <c r="H20"/>
  <c r="I20" s="1"/>
  <c r="H26"/>
  <c r="I26" s="1"/>
  <c r="H17"/>
  <c r="I17" s="1"/>
  <c r="H19"/>
  <c r="I19" s="1"/>
  <c r="H21"/>
  <c r="I21" s="1"/>
  <c r="H23"/>
  <c r="I23" s="1"/>
  <c r="I25"/>
  <c r="D33"/>
  <c r="H27" i="7"/>
  <c r="I27" s="1"/>
  <c r="G28"/>
  <c r="R15"/>
  <c r="H16"/>
  <c r="H18"/>
  <c r="I18" s="1"/>
  <c r="H20"/>
  <c r="I20" s="1"/>
  <c r="H26"/>
  <c r="I26" s="1"/>
  <c r="H17"/>
  <c r="I17" s="1"/>
  <c r="H19"/>
  <c r="I19" s="1"/>
  <c r="H21"/>
  <c r="I21" s="1"/>
  <c r="H23"/>
  <c r="I23" s="1"/>
  <c r="H25"/>
  <c r="I25" s="1"/>
  <c r="D33"/>
  <c r="H34" i="6"/>
  <c r="H35" s="1"/>
  <c r="H27"/>
  <c r="I27" s="1"/>
  <c r="G28"/>
  <c r="I22"/>
  <c r="R15"/>
  <c r="H16"/>
  <c r="H18"/>
  <c r="I18" s="1"/>
  <c r="H20"/>
  <c r="I20" s="1"/>
  <c r="H26"/>
  <c r="I26" s="1"/>
  <c r="H17"/>
  <c r="I17" s="1"/>
  <c r="H19"/>
  <c r="I19" s="1"/>
  <c r="H21"/>
  <c r="I21" s="1"/>
  <c r="H23"/>
  <c r="I23" s="1"/>
  <c r="H25"/>
  <c r="I25" s="1"/>
  <c r="D33"/>
  <c r="D32" i="5"/>
  <c r="G28"/>
  <c r="I24"/>
  <c r="I22"/>
  <c r="R15"/>
  <c r="H16"/>
  <c r="H18"/>
  <c r="I18" s="1"/>
  <c r="H20"/>
  <c r="I20" s="1"/>
  <c r="H26"/>
  <c r="I26" s="1"/>
  <c r="H17"/>
  <c r="I17" s="1"/>
  <c r="H19"/>
  <c r="I19" s="1"/>
  <c r="H21"/>
  <c r="I21" s="1"/>
  <c r="H23"/>
  <c r="I23" s="1"/>
  <c r="H25"/>
  <c r="I25" s="1"/>
  <c r="D33"/>
  <c r="D32" i="4"/>
  <c r="H34"/>
  <c r="H35" s="1"/>
  <c r="H27"/>
  <c r="H16"/>
  <c r="H17"/>
  <c r="H18"/>
  <c r="H19"/>
  <c r="I19" s="1"/>
  <c r="H20"/>
  <c r="H21"/>
  <c r="H23"/>
  <c r="H25"/>
  <c r="H26"/>
  <c r="I25"/>
  <c r="I27"/>
  <c r="I22"/>
  <c r="I24"/>
  <c r="I17"/>
  <c r="I21"/>
  <c r="G28"/>
  <c r="I16"/>
  <c r="I18"/>
  <c r="I20"/>
  <c r="I23"/>
  <c r="I26"/>
  <c r="H28"/>
  <c r="I28" s="1"/>
  <c r="F34"/>
  <c r="D34" s="1"/>
  <c r="D33"/>
  <c r="G28" i="3"/>
  <c r="R15"/>
  <c r="H16"/>
  <c r="H18"/>
  <c r="I18" s="1"/>
  <c r="H20"/>
  <c r="I20" s="1"/>
  <c r="H26"/>
  <c r="I26" s="1"/>
  <c r="H17"/>
  <c r="I17" s="1"/>
  <c r="H19"/>
  <c r="I19" s="1"/>
  <c r="H21"/>
  <c r="I21" s="1"/>
  <c r="H23"/>
  <c r="I23" s="1"/>
  <c r="H25"/>
  <c r="I25" s="1"/>
  <c r="D33"/>
  <c r="I22" i="2"/>
  <c r="H26"/>
  <c r="I26" s="1"/>
  <c r="I24"/>
  <c r="D32"/>
  <c r="H17"/>
  <c r="I17" s="1"/>
  <c r="H19"/>
  <c r="I19" s="1"/>
  <c r="H21"/>
  <c r="I21" s="1"/>
  <c r="H23"/>
  <c r="I23" s="1"/>
  <c r="H25"/>
  <c r="I25" s="1"/>
  <c r="R15"/>
  <c r="H16"/>
  <c r="H18"/>
  <c r="I18" s="1"/>
  <c r="H20"/>
  <c r="I20" s="1"/>
  <c r="I27" i="1"/>
  <c r="G28"/>
  <c r="R15"/>
  <c r="H16"/>
  <c r="H18"/>
  <c r="I18" s="1"/>
  <c r="H20"/>
  <c r="I20" s="1"/>
  <c r="H26"/>
  <c r="I26" s="1"/>
  <c r="H17"/>
  <c r="I17" s="1"/>
  <c r="H19"/>
  <c r="I19" s="1"/>
  <c r="H21"/>
  <c r="I21" s="1"/>
  <c r="H23"/>
  <c r="I23" s="1"/>
  <c r="H25"/>
  <c r="I25" s="1"/>
  <c r="D33"/>
  <c r="D34" i="27" l="1"/>
  <c r="F35"/>
  <c r="D35" s="1"/>
  <c r="I28" i="26"/>
  <c r="D34"/>
  <c r="F35"/>
  <c r="D35" s="1"/>
  <c r="D34" i="25"/>
  <c r="F35"/>
  <c r="D35" s="1"/>
  <c r="I28" i="21"/>
  <c r="D34"/>
  <c r="F35"/>
  <c r="D35" s="1"/>
  <c r="D34" i="20"/>
  <c r="F35"/>
  <c r="D35" s="1"/>
  <c r="D34" i="18"/>
  <c r="F35"/>
  <c r="D35" s="1"/>
  <c r="I28"/>
  <c r="D34" i="17"/>
  <c r="F35"/>
  <c r="D35" s="1"/>
  <c r="D34" i="16"/>
  <c r="F35"/>
  <c r="D35" s="1"/>
  <c r="I28" i="15"/>
  <c r="D34"/>
  <c r="F35"/>
  <c r="D35" s="1"/>
  <c r="I28" i="14"/>
  <c r="D34"/>
  <c r="F35"/>
  <c r="D35" s="1"/>
  <c r="D34" i="13"/>
  <c r="F35"/>
  <c r="D35" s="1"/>
  <c r="D34" i="12"/>
  <c r="F35"/>
  <c r="D35" s="1"/>
  <c r="D34" i="10"/>
  <c r="F35"/>
  <c r="D35" s="1"/>
  <c r="I28" i="9"/>
  <c r="F35"/>
  <c r="D35" s="1"/>
  <c r="I16" i="8"/>
  <c r="F34"/>
  <c r="H28"/>
  <c r="I28" s="1"/>
  <c r="I16" i="7"/>
  <c r="F34"/>
  <c r="H28"/>
  <c r="I28" s="1"/>
  <c r="I24" i="6"/>
  <c r="I16"/>
  <c r="F34"/>
  <c r="H28"/>
  <c r="I28" s="1"/>
  <c r="I16" i="5"/>
  <c r="F34"/>
  <c r="H28"/>
  <c r="I28" s="1"/>
  <c r="F35" i="4"/>
  <c r="D35" s="1"/>
  <c r="I16" i="3"/>
  <c r="F34"/>
  <c r="H28"/>
  <c r="I28" s="1"/>
  <c r="F34" i="2"/>
  <c r="H28"/>
  <c r="I28" s="1"/>
  <c r="I16"/>
  <c r="I16" i="1"/>
  <c r="F34"/>
  <c r="H28"/>
  <c r="I28" s="1"/>
  <c r="D34" i="8" l="1"/>
  <c r="F35"/>
  <c r="D35" s="1"/>
  <c r="D34" i="7"/>
  <c r="F35"/>
  <c r="D35" s="1"/>
  <c r="D34" i="6"/>
  <c r="F35"/>
  <c r="D35" s="1"/>
  <c r="D34" i="5"/>
  <c r="F35"/>
  <c r="D35" s="1"/>
  <c r="D34" i="3"/>
  <c r="F35"/>
  <c r="D35" s="1"/>
  <c r="F35" i="2"/>
  <c r="D35" s="1"/>
  <c r="D34"/>
  <c r="D34" i="1"/>
  <c r="F35"/>
  <c r="D35" s="1"/>
  <c r="Q15" i="24" l="1"/>
  <c r="P15"/>
  <c r="F34"/>
  <c r="R15" l="1"/>
  <c r="Q15" i="23" l="1"/>
  <c r="P15"/>
  <c r="Q15" i="19"/>
  <c r="P15"/>
  <c r="H27" s="1"/>
  <c r="F33" i="24"/>
  <c r="H23"/>
  <c r="H35"/>
  <c r="H36" s="1"/>
  <c r="H33"/>
  <c r="F29"/>
  <c r="E29"/>
  <c r="H28"/>
  <c r="G28"/>
  <c r="H27"/>
  <c r="G27"/>
  <c r="N26"/>
  <c r="H26"/>
  <c r="G26"/>
  <c r="H25"/>
  <c r="G25"/>
  <c r="I24"/>
  <c r="G23"/>
  <c r="I22"/>
  <c r="H21"/>
  <c r="G21"/>
  <c r="H20"/>
  <c r="I20" s="1"/>
  <c r="G20"/>
  <c r="H19"/>
  <c r="I19" s="1"/>
  <c r="G19"/>
  <c r="H18"/>
  <c r="I18" s="1"/>
  <c r="G18"/>
  <c r="H17"/>
  <c r="I17" s="1"/>
  <c r="G17"/>
  <c r="H16"/>
  <c r="G16"/>
  <c r="G29" s="1"/>
  <c r="F34" i="23"/>
  <c r="F33"/>
  <c r="H27"/>
  <c r="I27" s="1"/>
  <c r="G27"/>
  <c r="H35"/>
  <c r="H36" s="1"/>
  <c r="H33"/>
  <c r="D33"/>
  <c r="F29"/>
  <c r="E29"/>
  <c r="H28"/>
  <c r="G28"/>
  <c r="N26"/>
  <c r="H26"/>
  <c r="G26"/>
  <c r="H25"/>
  <c r="G25"/>
  <c r="I24"/>
  <c r="H23"/>
  <c r="G23"/>
  <c r="I22"/>
  <c r="H21"/>
  <c r="G21"/>
  <c r="H20"/>
  <c r="G20"/>
  <c r="H19"/>
  <c r="G19"/>
  <c r="H18"/>
  <c r="G18"/>
  <c r="H17"/>
  <c r="G17"/>
  <c r="H16"/>
  <c r="F35" s="1"/>
  <c r="G16"/>
  <c r="G29" s="1"/>
  <c r="L36" i="19"/>
  <c r="K33"/>
  <c r="J34"/>
  <c r="J36" s="1"/>
  <c r="J33"/>
  <c r="F34"/>
  <c r="D34" s="1"/>
  <c r="F33"/>
  <c r="G27"/>
  <c r="E29"/>
  <c r="K36"/>
  <c r="H35"/>
  <c r="H36" s="1"/>
  <c r="H33"/>
  <c r="F29"/>
  <c r="H28"/>
  <c r="G28"/>
  <c r="N26"/>
  <c r="H26"/>
  <c r="G26"/>
  <c r="H25"/>
  <c r="G25"/>
  <c r="I24"/>
  <c r="G23"/>
  <c r="I22"/>
  <c r="H21"/>
  <c r="G21"/>
  <c r="H20"/>
  <c r="G20"/>
  <c r="H19"/>
  <c r="G19"/>
  <c r="H18"/>
  <c r="G18"/>
  <c r="H17"/>
  <c r="G17"/>
  <c r="H16"/>
  <c r="G16"/>
  <c r="I21" i="24" l="1"/>
  <c r="D33"/>
  <c r="I25"/>
  <c r="I26"/>
  <c r="D33" i="19"/>
  <c r="I27"/>
  <c r="R15" i="23"/>
  <c r="G29" i="19"/>
  <c r="H23"/>
  <c r="H29" s="1"/>
  <c r="I29" s="1"/>
  <c r="R15"/>
  <c r="I16" i="24"/>
  <c r="I23"/>
  <c r="I27"/>
  <c r="I28"/>
  <c r="H29"/>
  <c r="I29" s="1"/>
  <c r="F35"/>
  <c r="D35" s="1"/>
  <c r="D34"/>
  <c r="D35" i="23"/>
  <c r="I17"/>
  <c r="I18"/>
  <c r="I19"/>
  <c r="I20"/>
  <c r="I21"/>
  <c r="I25"/>
  <c r="I23"/>
  <c r="I26"/>
  <c r="I28"/>
  <c r="F36"/>
  <c r="D36" s="1"/>
  <c r="I16"/>
  <c r="H29"/>
  <c r="I29" s="1"/>
  <c r="D34"/>
  <c r="I17" i="19"/>
  <c r="I18"/>
  <c r="I19"/>
  <c r="I20"/>
  <c r="I21"/>
  <c r="I25"/>
  <c r="I26"/>
  <c r="I23"/>
  <c r="I28"/>
  <c r="I16"/>
  <c r="F35"/>
  <c r="D35" s="1"/>
  <c r="F36" i="24" l="1"/>
  <c r="D36" s="1"/>
  <c r="F36" i="19"/>
  <c r="D36" s="1"/>
</calcChain>
</file>

<file path=xl/sharedStrings.xml><?xml version="1.0" encoding="utf-8"?>
<sst xmlns="http://schemas.openxmlformats.org/spreadsheetml/2006/main" count="2322" uniqueCount="165">
  <si>
    <t>• Адрес МКД</t>
  </si>
  <si>
    <t>• Год постройки</t>
  </si>
  <si>
    <t>• Этажность</t>
  </si>
  <si>
    <t>• Количество квартир</t>
  </si>
  <si>
    <t>• Общая площадь дома с учетом помещений
общего пользования</t>
  </si>
  <si>
    <t>• Общая площадь жилых помещений</t>
  </si>
  <si>
    <t>• Общая площадь нежилых помещений</t>
  </si>
  <si>
    <t>0 кв. м.</t>
  </si>
  <si>
    <t>• Площадь придомовой территории,
входящей в состав общего имущества МКД</t>
  </si>
  <si>
    <t>2154 кв. м. - грунт</t>
  </si>
  <si>
    <t>Содержание общего
имущества МКД (руб.)</t>
  </si>
  <si>
    <t>Текущий ремонт 
общего имущества 
МКД (руб.)</t>
  </si>
  <si>
    <t>1. Начислено</t>
  </si>
  <si>
    <t>2. Оплачено</t>
  </si>
  <si>
    <t>Я. И. Егоров</t>
  </si>
  <si>
    <t>подпись</t>
  </si>
  <si>
    <t>Войкова 64</t>
  </si>
  <si>
    <t>620,3 кв. м.</t>
  </si>
  <si>
    <t>Войкова 66</t>
  </si>
  <si>
    <t>Коперника 3</t>
  </si>
  <si>
    <t>945,6 кв. м.</t>
  </si>
  <si>
    <t>291,3 кв. м. - грунт;
551,3 кв. м. - асфальт</t>
  </si>
  <si>
    <t>Коперника 5</t>
  </si>
  <si>
    <t>913,6 кв. м.</t>
  </si>
  <si>
    <t>1247,1 кв. м. - грунт;
633,5 кв. м. - асфальт</t>
  </si>
  <si>
    <t>Коперника 7</t>
  </si>
  <si>
    <t>894,9 кв. м.</t>
  </si>
  <si>
    <t>1473,2 кв. м. - грунт;
623 кв. м. - асфальт</t>
  </si>
  <si>
    <t>Коперника 8</t>
  </si>
  <si>
    <t>1657,2 кв. м.</t>
  </si>
  <si>
    <t>1716 кв. м. - грунт;
576,09 кв. м. - асфальт</t>
  </si>
  <si>
    <t>Коперника 10</t>
  </si>
  <si>
    <t>1574,9 кв. м.</t>
  </si>
  <si>
    <t>2150,1 кв. м. - грунт;
524 кв. м. - асфальт</t>
  </si>
  <si>
    <t>Коперника 15</t>
  </si>
  <si>
    <t>591 кв. м.</t>
  </si>
  <si>
    <t>110 кв. м. - грунт;
112 кв. м. - асфальт</t>
  </si>
  <si>
    <t>Коперника 17</t>
  </si>
  <si>
    <t>570,9 кв. м.</t>
  </si>
  <si>
    <t>110 кв. м. - грунт;
176,2 кв. м. - асфальт</t>
  </si>
  <si>
    <t>Коперника 19</t>
  </si>
  <si>
    <t>652,1 кв. м.</t>
  </si>
  <si>
    <t>110 кв. м. - грунт;
209,2 кв. м. - асфальт</t>
  </si>
  <si>
    <t>Коперника 23</t>
  </si>
  <si>
    <t>567,4 кв. м.</t>
  </si>
  <si>
    <t>110 кв. м. - грунт;
345 кв. м. - асфальт</t>
  </si>
  <si>
    <t>Коперника 25</t>
  </si>
  <si>
    <t>568,4 кв. м.</t>
  </si>
  <si>
    <t>110 кв. м. - грунт;
216,3 кв. м. - асфальт</t>
  </si>
  <si>
    <t>Линейная 21</t>
  </si>
  <si>
    <t>680,8 кв. м.</t>
  </si>
  <si>
    <t>110 кв. м. - грунт;
139,3 кв. м. - асфальт</t>
  </si>
  <si>
    <t>Линейная 23</t>
  </si>
  <si>
    <t>452,9 кв. м.</t>
  </si>
  <si>
    <t>110 кв. м. - грунт;
92 кв. м. - асфальт</t>
  </si>
  <si>
    <t>Линейная 25</t>
  </si>
  <si>
    <t>435,9 кв. м.</t>
  </si>
  <si>
    <t>Линейная 27</t>
  </si>
  <si>
    <t>628,1 кв. м.</t>
  </si>
  <si>
    <t>110 кв. м. - грунт;
123 кв. м. - асфальт</t>
  </si>
  <si>
    <t>Линейная 30</t>
  </si>
  <si>
    <t>686,4 кв. м.</t>
  </si>
  <si>
    <t>624,7 кв. м.</t>
  </si>
  <si>
    <t>110 кв. м. - грунт;
324 кв. м. - асфальт</t>
  </si>
  <si>
    <t>Магистральная 4</t>
  </si>
  <si>
    <t>675,3 кв. м.</t>
  </si>
  <si>
    <t>110 кв. м. - грунт;
313,3 кв. м. - асфальт</t>
  </si>
  <si>
    <t>Магистральная 6</t>
  </si>
  <si>
    <t>617,1 кв. м.</t>
  </si>
  <si>
    <t>110 кв. м. - грунт;
296,3 кв. м. - асфальт</t>
  </si>
  <si>
    <t>Марины Расковой 16</t>
  </si>
  <si>
    <t>630,8 кв. м.</t>
  </si>
  <si>
    <t>110 кв. м. - грунт;
81,9 кв. м. - асфальт</t>
  </si>
  <si>
    <t>Марины Расковой 22</t>
  </si>
  <si>
    <t>630,3 кв. м.</t>
  </si>
  <si>
    <t>110 кв. м. - грунт;
131 кв. м. - асфальт</t>
  </si>
  <si>
    <t>Перспективная 1</t>
  </si>
  <si>
    <t>1795,6 кв. м.</t>
  </si>
  <si>
    <t>1455,1 кв. м. - грунт;
696,5 кв. м. - асфальт</t>
  </si>
  <si>
    <t>Перспективная 3</t>
  </si>
  <si>
    <t>1787,5 кв. м.</t>
  </si>
  <si>
    <t>2555,7 кв. м. - грунт;
697,4 кв. м. - асфальт</t>
  </si>
  <si>
    <t>Фестивальная 4</t>
  </si>
  <si>
    <t>640,2 кв. м.</t>
  </si>
  <si>
    <t>110 кв. м. - грунт;
224,8 кв. м. - асфальт</t>
  </si>
  <si>
    <t>Фестивальная 8</t>
  </si>
  <si>
    <t>661,7 кв. м.</t>
  </si>
  <si>
    <t>110 кв. м. - грунт;
451,3 кв. м. - асфальт</t>
  </si>
  <si>
    <t>Фестивальная 10</t>
  </si>
  <si>
    <t>663,4 кв. м.</t>
  </si>
  <si>
    <t>110 кв. м. - грунт;
327 кв. м. - асфальт</t>
  </si>
  <si>
    <t>634,3 кв. м.</t>
  </si>
  <si>
    <t>632,8 кв. м.</t>
  </si>
  <si>
    <t>В. Н. Мосюкова</t>
  </si>
  <si>
    <t>602,9 кв. м.</t>
  </si>
  <si>
    <t>608,3 кв. м.</t>
  </si>
  <si>
    <t>619,8 кв. м.</t>
  </si>
  <si>
    <t>577 кв. м.</t>
  </si>
  <si>
    <t>860,1 кв. м.</t>
  </si>
  <si>
    <t>828,2 кв. м.</t>
  </si>
  <si>
    <t>850 кв. м.</t>
  </si>
  <si>
    <t>1541,3 кв. м.</t>
  </si>
  <si>
    <t>1506,6 кв. м.</t>
  </si>
  <si>
    <t>518,8 кв. м.</t>
  </si>
  <si>
    <t>508,3 кв. м.</t>
  </si>
  <si>
    <t>507,3 кв. м.</t>
  </si>
  <si>
    <t>518,1 кв. м.</t>
  </si>
  <si>
    <t>394,5 кв. м.</t>
  </si>
  <si>
    <t>387,8 кв. м.</t>
  </si>
  <si>
    <t>605,7 кв. м.</t>
  </si>
  <si>
    <t>585,1 кв. м.</t>
  </si>
  <si>
    <t>604,2 кв. м.</t>
  </si>
  <si>
    <t>625,5 кв. м.</t>
  </si>
  <si>
    <t>612,4 кв. м.</t>
  </si>
  <si>
    <t>3.Выполнено</t>
  </si>
  <si>
    <t>4. Остаток на конец отчетного периода
("-" - перевыполнено работ; "+" - недовыполнено работ)</t>
  </si>
  <si>
    <t>Директор ООО "Партнер-1"</t>
  </si>
  <si>
    <t>____________________</t>
  </si>
  <si>
    <t>Главный бухгалтер ООО "Партнер-1"</t>
  </si>
  <si>
    <t>Экономист ООО "Партнер-1"</t>
  </si>
  <si>
    <t>Инженер по ремонту ООО "Партнер-1"</t>
  </si>
  <si>
    <t>Плановые затраты (руб.)</t>
  </si>
  <si>
    <t>Фактические затраты (руб.)</t>
  </si>
  <si>
    <t>Транспортные расходы при санитарной очистке территорий</t>
  </si>
  <si>
    <r>
      <rPr>
        <b/>
        <sz val="10"/>
        <color theme="1"/>
        <rFont val="Times New Roman"/>
        <family val="1"/>
        <charset val="204"/>
      </rPr>
      <t>Содержание аварийно-диспетчерской службы:</t>
    </r>
    <r>
      <rPr>
        <sz val="10"/>
        <color theme="1"/>
        <rFont val="Times New Roman"/>
        <family val="1"/>
        <charset val="204"/>
      </rPr>
      <t xml:space="preserve">
- оплата труда рабочих;
- затраты на инвентарь, спецодежду;
- транспортные расходы</t>
    </r>
  </si>
  <si>
    <r>
      <rPr>
        <b/>
        <sz val="10"/>
        <color theme="1"/>
        <rFont val="Times New Roman"/>
        <family val="1"/>
        <charset val="204"/>
      </rPr>
      <t>Услуги управляющей организации:</t>
    </r>
    <r>
      <rPr>
        <sz val="10"/>
        <color theme="1"/>
        <rFont val="Times New Roman"/>
        <family val="1"/>
        <charset val="204"/>
      </rPr>
      <t xml:space="preserve">
- составление сметных расчетов;
- делопроизводство и хранение документации;
- правовая работа, взаимодействие с местными органами власти;
- планирование работ по содержанию и ремонту МКД;
- ведение электронной базы данных;
- расчет размера платы за жилищные услуги;
- анализ финансово-хозяйственной деятельности, составление отчета о выполнении договора оказания услуг;
- обеспечение бухгалтерского и налогового учета;
- информационно-разъяснительная работа с собственниками и т.д.</t>
    </r>
  </si>
  <si>
    <r>
      <rPr>
        <b/>
        <sz val="10"/>
        <color theme="1"/>
        <rFont val="Times New Roman"/>
        <family val="1"/>
        <charset val="204"/>
      </rPr>
      <t>Прочие расходы:</t>
    </r>
    <r>
      <rPr>
        <sz val="10"/>
        <color theme="1"/>
        <rFont val="Times New Roman"/>
        <family val="1"/>
        <charset val="204"/>
      </rPr>
      <t xml:space="preserve">
- услуги банка, статистики;
- услуги информационно-вычислительного центра;
- услуги паспортно-визовой службы;
- затраты на оргтехнику</t>
    </r>
  </si>
  <si>
    <t>Рентабельность</t>
  </si>
  <si>
    <t>Итого</t>
  </si>
  <si>
    <r>
      <rPr>
        <b/>
        <sz val="10"/>
        <color theme="1"/>
        <rFont val="Times New Roman"/>
        <family val="1"/>
        <charset val="204"/>
      </rPr>
      <t>Санитарное содержание придомовой территории:</t>
    </r>
    <r>
      <rPr>
        <sz val="10"/>
        <color theme="1"/>
        <rFont val="Times New Roman"/>
        <family val="1"/>
        <charset val="204"/>
      </rPr>
      <t xml:space="preserve">
- оплата труда рабочих;
- затраты на материалы инвентарь;
- покос сорных трав</t>
    </r>
  </si>
  <si>
    <t>Профдезобработка</t>
  </si>
  <si>
    <t>Т. В. Павлова</t>
  </si>
  <si>
    <t>Отчет об оказанных услугах и выполненных работах по содержанию и текущему ремонту общего имущества в МКД за 2015 год</t>
  </si>
  <si>
    <t>начислено СЖ 1 полугодие</t>
  </si>
  <si>
    <t>начислено СЖ 2 полугодие</t>
  </si>
  <si>
    <t>факт СЖ 1 полугодие</t>
  </si>
  <si>
    <t>факт СЖ 2 полугодие</t>
  </si>
  <si>
    <t>Виды работ и затрат</t>
  </si>
  <si>
    <t>периодичность выполнения работ и услуг</t>
  </si>
  <si>
    <t>единица измерения работы/       услуги</t>
  </si>
  <si>
    <t>ст-ть на 1 кв. м общей жилой  площади (руб. в мес.) I полугодие 2015</t>
  </si>
  <si>
    <t>ст-ть на 1 кв. м общей жилой  площади (руб. в мес.) II полугодие 2015</t>
  </si>
  <si>
    <t>стоимость выполненной работы/оказанной услуги</t>
  </si>
  <si>
    <r>
      <rPr>
        <b/>
        <sz val="10"/>
        <color theme="1"/>
        <rFont val="Times New Roman"/>
        <family val="1"/>
        <charset val="204"/>
      </rPr>
      <t>Санитарное содержание лестничных клеток:</t>
    </r>
    <r>
      <rPr>
        <sz val="10"/>
        <color theme="1"/>
        <rFont val="Times New Roman"/>
        <family val="1"/>
        <charset val="204"/>
      </rPr>
      <t xml:space="preserve">
- оплата труда рабочих;
- затраты на материалы, инвентарь.</t>
    </r>
  </si>
  <si>
    <t>согласно договора  управления МКД</t>
  </si>
  <si>
    <t>руб.</t>
  </si>
  <si>
    <t>Техническое обслуживание внутридомового газового 
оборудования</t>
  </si>
  <si>
    <t xml:space="preserve">согласно договора  </t>
  </si>
  <si>
    <t>постоянно</t>
  </si>
  <si>
    <t xml:space="preserve">Вывоз ТБО </t>
  </si>
  <si>
    <r>
      <rPr>
        <b/>
        <sz val="10"/>
        <color theme="1"/>
        <rFont val="Times New Roman"/>
        <family val="1"/>
        <charset val="204"/>
      </rPr>
      <t>Профилактические осмотры внутридомового инженерного
оборудования и конструктивных элементов МКД:</t>
    </r>
    <r>
      <rPr>
        <sz val="10"/>
        <color theme="1"/>
        <rFont val="Times New Roman"/>
        <family val="1"/>
        <charset val="204"/>
      </rPr>
      <t xml:space="preserve">
- затраты на весенние и осенние проверки готовности МКД к эксплуатации;
- затраты на внеочередные осмотры (после ливней, ураганных ветров, снегопадов и других явлений стихийного характера; в случае аварий на внешних коммуникациях и др.);
- ведение документов по учету технического состояния зданий</t>
    </r>
  </si>
  <si>
    <t xml:space="preserve">Текущий ремонт </t>
  </si>
  <si>
    <r>
      <rPr>
        <b/>
        <sz val="10"/>
        <color theme="1"/>
        <rFont val="Times New Roman"/>
        <family val="1"/>
        <charset val="204"/>
      </rPr>
      <t>Общеэксплуатационные расходы:</t>
    </r>
    <r>
      <rPr>
        <sz val="10"/>
        <color theme="1"/>
        <rFont val="Times New Roman"/>
        <family val="1"/>
        <charset val="204"/>
      </rPr>
      <t xml:space="preserve">
- арендная плата;
- амортизация;
- транспортные расходы;
- затраты на канц.товары, телефонную связь и т. д.</t>
    </r>
  </si>
  <si>
    <t>Отчет по затратам на управление, содержание и ремонт общего имущества МКД за 2015 год</t>
  </si>
  <si>
    <t>начислено всего</t>
  </si>
  <si>
    <t>Водоснабжение, водоотведение</t>
  </si>
  <si>
    <t>Электроэнергия</t>
  </si>
  <si>
    <t>Н.Е. Горбатенко</t>
  </si>
  <si>
    <t>Обслуживание ОПУ тепловой энергии</t>
  </si>
  <si>
    <t>Отопление</t>
  </si>
  <si>
    <t>1622,6 кв. м.</t>
  </si>
  <si>
    <t>Ежегодный отчет Управляющей организации ООО "Партнер-1" о выполнении Договора о деятельности за отчетный период с 01.01.2015 г. по 31.12.2015г.</t>
  </si>
  <si>
    <t>1644,6 кв. м.</t>
  </si>
  <si>
    <t>Разница                       (-) экономия, (+)перерасход</t>
  </si>
  <si>
    <t>623,9 кв. м.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</si>
</sst>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000"/>
  </numFmts>
  <fonts count="13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i/>
      <u/>
      <sz val="14"/>
      <color theme="1"/>
      <name val="Times New Roman"/>
      <family val="1"/>
      <charset val="204"/>
    </font>
    <font>
      <sz val="12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2" fontId="2" fillId="0" borderId="0" xfId="0" applyNumberFormat="1" applyFont="1"/>
    <xf numFmtId="0" fontId="3" fillId="0" borderId="0" xfId="0" applyFont="1" applyAlignment="1">
      <alignment horizontal="center" vertical="center"/>
    </xf>
    <xf numFmtId="0" fontId="4" fillId="0" borderId="0" xfId="0" applyFont="1"/>
    <xf numFmtId="0" fontId="2" fillId="0" borderId="0" xfId="0" applyFont="1" applyBorder="1" applyAlignment="1">
      <alignment horizontal="center" vertical="center"/>
    </xf>
    <xf numFmtId="0" fontId="2" fillId="0" borderId="0" xfId="0" applyFont="1" applyBorder="1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wrapText="1"/>
    </xf>
    <xf numFmtId="0" fontId="2" fillId="0" borderId="0" xfId="0" applyFont="1" applyAlignment="1">
      <alignment horizontal="left" vertical="center"/>
    </xf>
    <xf numFmtId="0" fontId="5" fillId="0" borderId="5" xfId="0" applyFont="1" applyBorder="1" applyAlignment="1">
      <alignment horizontal="center" vertical="center"/>
    </xf>
    <xf numFmtId="0" fontId="5" fillId="0" borderId="9" xfId="0" applyFont="1" applyBorder="1"/>
    <xf numFmtId="0" fontId="5" fillId="0" borderId="26" xfId="0" applyFont="1" applyBorder="1"/>
    <xf numFmtId="0" fontId="5" fillId="0" borderId="1" xfId="0" applyFont="1" applyBorder="1" applyAlignment="1">
      <alignment wrapText="1"/>
    </xf>
    <xf numFmtId="0" fontId="6" fillId="0" borderId="0" xfId="0" applyFont="1" applyBorder="1" applyAlignment="1">
      <alignment horizontal="center" vertical="center" wrapText="1"/>
    </xf>
    <xf numFmtId="2" fontId="2" fillId="0" borderId="0" xfId="0" applyNumberFormat="1" applyFont="1" applyBorder="1"/>
    <xf numFmtId="0" fontId="3" fillId="0" borderId="0" xfId="0" applyFont="1" applyAlignment="1">
      <alignment horizontal="left" vertical="center"/>
    </xf>
    <xf numFmtId="0" fontId="5" fillId="0" borderId="0" xfId="0" applyFont="1" applyAlignment="1">
      <alignment horizontal="left"/>
    </xf>
    <xf numFmtId="0" fontId="5" fillId="0" borderId="0" xfId="0" applyFont="1"/>
    <xf numFmtId="2" fontId="2" fillId="0" borderId="0" xfId="0" applyNumberFormat="1" applyFont="1" applyAlignment="1">
      <alignment horizontal="center" vertical="center"/>
    </xf>
    <xf numFmtId="0" fontId="4" fillId="0" borderId="0" xfId="0" applyFont="1" applyBorder="1"/>
    <xf numFmtId="0" fontId="5" fillId="0" borderId="9" xfId="0" applyFont="1" applyBorder="1" applyAlignment="1">
      <alignment wrapText="1"/>
    </xf>
    <xf numFmtId="0" fontId="3" fillId="0" borderId="9" xfId="0" applyFont="1" applyBorder="1" applyAlignment="1">
      <alignment wrapText="1"/>
    </xf>
    <xf numFmtId="0" fontId="3" fillId="0" borderId="13" xfId="0" applyFont="1" applyBorder="1"/>
    <xf numFmtId="2" fontId="3" fillId="0" borderId="15" xfId="0" applyNumberFormat="1" applyFont="1" applyBorder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 wrapText="1"/>
    </xf>
    <xf numFmtId="2" fontId="2" fillId="0" borderId="0" xfId="0" applyNumberFormat="1" applyFont="1" applyAlignment="1">
      <alignment horizontal="center" vertical="center" wrapText="1"/>
    </xf>
    <xf numFmtId="165" fontId="2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horizontal="center" vertical="center" wrapText="1"/>
    </xf>
    <xf numFmtId="2" fontId="5" fillId="0" borderId="12" xfId="0" applyNumberFormat="1" applyFont="1" applyBorder="1" applyAlignment="1">
      <alignment horizontal="center" vertical="center" wrapText="1"/>
    </xf>
    <xf numFmtId="2" fontId="5" fillId="0" borderId="11" xfId="0" applyNumberFormat="1" applyFont="1" applyBorder="1" applyAlignment="1">
      <alignment horizontal="center" vertical="center"/>
    </xf>
    <xf numFmtId="2" fontId="5" fillId="0" borderId="18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2" fontId="5" fillId="0" borderId="18" xfId="0" applyNumberFormat="1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5" fillId="0" borderId="42" xfId="0" applyFont="1" applyBorder="1" applyAlignment="1">
      <alignment wrapText="1"/>
    </xf>
    <xf numFmtId="0" fontId="8" fillId="0" borderId="43" xfId="0" applyFont="1" applyBorder="1" applyAlignment="1">
      <alignment horizontal="left" vertical="center" wrapText="1"/>
    </xf>
    <xf numFmtId="0" fontId="8" fillId="0" borderId="43" xfId="0" applyFont="1" applyBorder="1" applyAlignment="1">
      <alignment horizontal="center" vertical="center" wrapText="1"/>
    </xf>
    <xf numFmtId="2" fontId="5" fillId="0" borderId="16" xfId="0" applyNumberFormat="1" applyFont="1" applyBorder="1" applyAlignment="1">
      <alignment horizontal="center" vertical="center"/>
    </xf>
    <xf numFmtId="2" fontId="5" fillId="0" borderId="44" xfId="0" applyNumberFormat="1" applyFont="1" applyBorder="1" applyAlignment="1">
      <alignment horizontal="center" vertical="center"/>
    </xf>
    <xf numFmtId="2" fontId="5" fillId="0" borderId="9" xfId="0" applyNumberFormat="1" applyFont="1" applyBorder="1" applyAlignment="1">
      <alignment horizontal="center" vertical="center" wrapText="1"/>
    </xf>
    <xf numFmtId="2" fontId="5" fillId="0" borderId="45" xfId="0" applyNumberFormat="1" applyFont="1" applyBorder="1" applyAlignment="1">
      <alignment horizontal="center" vertical="center" wrapText="1"/>
    </xf>
    <xf numFmtId="2" fontId="3" fillId="0" borderId="28" xfId="0" applyNumberFormat="1" applyFont="1" applyBorder="1" applyAlignment="1">
      <alignment horizontal="center" vertical="center" wrapText="1"/>
    </xf>
    <xf numFmtId="2" fontId="3" fillId="0" borderId="0" xfId="0" applyNumberFormat="1" applyFont="1"/>
    <xf numFmtId="0" fontId="8" fillId="0" borderId="10" xfId="0" applyFont="1" applyBorder="1" applyAlignment="1">
      <alignment horizontal="left" wrapText="1"/>
    </xf>
    <xf numFmtId="2" fontId="4" fillId="0" borderId="0" xfId="0" applyNumberFormat="1" applyFont="1"/>
    <xf numFmtId="0" fontId="3" fillId="0" borderId="9" xfId="0" applyFont="1" applyBorder="1" applyAlignment="1">
      <alignment vertical="center" wrapText="1"/>
    </xf>
    <xf numFmtId="0" fontId="3" fillId="0" borderId="9" xfId="0" applyFont="1" applyBorder="1" applyAlignment="1">
      <alignment vertical="top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vertical="center" wrapText="1"/>
    </xf>
    <xf numFmtId="0" fontId="5" fillId="0" borderId="10" xfId="0" applyFont="1" applyBorder="1"/>
    <xf numFmtId="2" fontId="5" fillId="0" borderId="12" xfId="0" applyNumberFormat="1" applyFont="1" applyBorder="1" applyAlignment="1">
      <alignment horizontal="center" vertical="center"/>
    </xf>
    <xf numFmtId="0" fontId="5" fillId="0" borderId="17" xfId="0" applyFont="1" applyBorder="1"/>
    <xf numFmtId="2" fontId="5" fillId="0" borderId="33" xfId="0" applyNumberFormat="1" applyFont="1" applyBorder="1" applyAlignment="1">
      <alignment horizontal="center" vertical="center"/>
    </xf>
    <xf numFmtId="2" fontId="5" fillId="0" borderId="3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wrapText="1"/>
    </xf>
    <xf numFmtId="0" fontId="10" fillId="0" borderId="0" xfId="0" applyFont="1" applyAlignment="1">
      <alignment wrapText="1"/>
    </xf>
    <xf numFmtId="0" fontId="4" fillId="0" borderId="0" xfId="0" applyFont="1" applyAlignment="1">
      <alignment wrapText="1"/>
    </xf>
    <xf numFmtId="2" fontId="5" fillId="0" borderId="0" xfId="0" applyNumberFormat="1" applyFont="1" applyBorder="1" applyAlignment="1">
      <alignment horizontal="center"/>
    </xf>
    <xf numFmtId="2" fontId="5" fillId="0" borderId="24" xfId="0" applyNumberFormat="1" applyFont="1" applyBorder="1" applyAlignment="1">
      <alignment horizontal="center" wrapText="1"/>
    </xf>
    <xf numFmtId="0" fontId="3" fillId="0" borderId="0" xfId="0" applyFont="1" applyAlignment="1">
      <alignment horizontal="left"/>
    </xf>
    <xf numFmtId="0" fontId="3" fillId="0" borderId="47" xfId="0" applyFont="1" applyBorder="1" applyAlignment="1">
      <alignment wrapText="1"/>
    </xf>
    <xf numFmtId="0" fontId="8" fillId="0" borderId="48" xfId="0" applyFont="1" applyBorder="1" applyAlignment="1">
      <alignment horizontal="left"/>
    </xf>
    <xf numFmtId="0" fontId="8" fillId="0" borderId="17" xfId="0" applyFont="1" applyBorder="1" applyAlignment="1">
      <alignment horizontal="center" vertical="center" wrapText="1"/>
    </xf>
    <xf numFmtId="2" fontId="5" fillId="0" borderId="49" xfId="0" applyNumberFormat="1" applyFont="1" applyBorder="1" applyAlignment="1">
      <alignment horizontal="center" vertical="center"/>
    </xf>
    <xf numFmtId="2" fontId="5" fillId="0" borderId="47" xfId="0" applyNumberFormat="1" applyFont="1" applyBorder="1" applyAlignment="1">
      <alignment horizontal="center" vertical="center" wrapText="1"/>
    </xf>
    <xf numFmtId="2" fontId="5" fillId="0" borderId="50" xfId="0" applyNumberFormat="1" applyFont="1" applyBorder="1" applyAlignment="1">
      <alignment horizontal="center" vertical="center" wrapText="1"/>
    </xf>
    <xf numFmtId="2" fontId="3" fillId="0" borderId="5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3" fillId="0" borderId="2" xfId="0" applyFont="1" applyBorder="1"/>
    <xf numFmtId="2" fontId="3" fillId="0" borderId="24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 wrapText="1"/>
    </xf>
    <xf numFmtId="2" fontId="3" fillId="0" borderId="4" xfId="0" applyNumberFormat="1" applyFont="1" applyBorder="1" applyAlignment="1">
      <alignment horizontal="center" vertical="center"/>
    </xf>
    <xf numFmtId="2" fontId="3" fillId="0" borderId="25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wrapText="1"/>
    </xf>
    <xf numFmtId="2" fontId="5" fillId="0" borderId="0" xfId="0" applyNumberFormat="1" applyFont="1" applyBorder="1" applyAlignment="1">
      <alignment horizontal="center" wrapText="1"/>
    </xf>
    <xf numFmtId="2" fontId="5" fillId="0" borderId="27" xfId="0" applyNumberFormat="1" applyFont="1" applyBorder="1" applyAlignment="1">
      <alignment horizontal="center" wrapText="1"/>
    </xf>
    <xf numFmtId="2" fontId="5" fillId="0" borderId="27" xfId="0" applyNumberFormat="1" applyFont="1" applyBorder="1" applyAlignment="1">
      <alignment horizontal="center"/>
    </xf>
    <xf numFmtId="2" fontId="5" fillId="0" borderId="0" xfId="0" applyNumberFormat="1" applyFont="1" applyBorder="1" applyAlignment="1">
      <alignment horizontal="center" vertical="center" wrapText="1"/>
    </xf>
    <xf numFmtId="0" fontId="5" fillId="0" borderId="21" xfId="0" applyFont="1" applyBorder="1" applyAlignment="1">
      <alignment vertical="center" wrapText="1"/>
    </xf>
    <xf numFmtId="2" fontId="5" fillId="0" borderId="3" xfId="0" applyNumberFormat="1" applyFont="1" applyBorder="1" applyAlignment="1">
      <alignment horizontal="center" wrapText="1"/>
    </xf>
    <xf numFmtId="2" fontId="5" fillId="0" borderId="4" xfId="0" applyNumberFormat="1" applyFont="1" applyBorder="1" applyAlignment="1">
      <alignment horizontal="center" wrapText="1"/>
    </xf>
    <xf numFmtId="0" fontId="8" fillId="0" borderId="10" xfId="0" applyFont="1" applyBorder="1" applyAlignment="1">
      <alignment horizontal="left" vertical="center" wrapText="1"/>
    </xf>
    <xf numFmtId="2" fontId="3" fillId="0" borderId="3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center" wrapText="1"/>
    </xf>
    <xf numFmtId="2" fontId="5" fillId="0" borderId="18" xfId="0" applyNumberFormat="1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5" fillId="0" borderId="0" xfId="0" applyFont="1" applyBorder="1" applyAlignment="1">
      <alignment horizontal="center" vertical="center" wrapText="1"/>
    </xf>
    <xf numFmtId="2" fontId="5" fillId="0" borderId="0" xfId="0" applyNumberFormat="1" applyFont="1" applyBorder="1" applyAlignment="1">
      <alignment horizontal="center"/>
    </xf>
    <xf numFmtId="0" fontId="5" fillId="0" borderId="42" xfId="0" applyFont="1" applyBorder="1" applyAlignment="1">
      <alignment vertical="top" wrapText="1"/>
    </xf>
    <xf numFmtId="0" fontId="5" fillId="0" borderId="46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2" fontId="5" fillId="0" borderId="46" xfId="0" applyNumberFormat="1" applyFont="1" applyBorder="1" applyAlignment="1"/>
    <xf numFmtId="2" fontId="5" fillId="0" borderId="0" xfId="0" applyNumberFormat="1" applyFont="1" applyBorder="1" applyAlignment="1"/>
    <xf numFmtId="2" fontId="5" fillId="0" borderId="18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center" wrapText="1"/>
    </xf>
    <xf numFmtId="2" fontId="5" fillId="0" borderId="0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wrapText="1" shrinkToFit="1"/>
    </xf>
    <xf numFmtId="0" fontId="9" fillId="0" borderId="0" xfId="0" applyFont="1" applyBorder="1" applyAlignment="1">
      <alignment horizontal="center" vertical="center" wrapText="1"/>
    </xf>
    <xf numFmtId="2" fontId="3" fillId="0" borderId="0" xfId="0" applyNumberFormat="1" applyFont="1" applyBorder="1" applyAlignment="1">
      <alignment horizontal="center" vertical="center" wrapText="1"/>
    </xf>
    <xf numFmtId="0" fontId="5" fillId="0" borderId="9" xfId="0" applyFont="1" applyBorder="1" applyAlignment="1">
      <alignment vertical="top" wrapText="1"/>
    </xf>
    <xf numFmtId="2" fontId="5" fillId="0" borderId="12" xfId="0" applyNumberFormat="1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left"/>
    </xf>
    <xf numFmtId="0" fontId="3" fillId="0" borderId="14" xfId="0" applyFont="1" applyBorder="1"/>
    <xf numFmtId="2" fontId="3" fillId="0" borderId="19" xfId="0" applyNumberFormat="1" applyFont="1" applyBorder="1" applyAlignment="1">
      <alignment horizontal="center" vertical="center"/>
    </xf>
    <xf numFmtId="2" fontId="3" fillId="0" borderId="13" xfId="0" applyNumberFormat="1" applyFont="1" applyBorder="1" applyAlignment="1">
      <alignment horizontal="center" vertical="center" wrapText="1"/>
    </xf>
    <xf numFmtId="2" fontId="3" fillId="0" borderId="20" xfId="0" applyNumberFormat="1" applyFont="1" applyBorder="1" applyAlignment="1">
      <alignment horizontal="center" vertical="center"/>
    </xf>
    <xf numFmtId="2" fontId="3" fillId="0" borderId="23" xfId="0" applyNumberFormat="1" applyFont="1" applyBorder="1" applyAlignment="1">
      <alignment horizontal="center" vertical="center"/>
    </xf>
    <xf numFmtId="2" fontId="4" fillId="0" borderId="0" xfId="0" applyNumberFormat="1" applyFont="1" applyBorder="1" applyAlignment="1">
      <alignment horizontal="center" vertical="center"/>
    </xf>
    <xf numFmtId="2" fontId="3" fillId="0" borderId="0" xfId="0" applyNumberFormat="1" applyFont="1" applyAlignment="1">
      <alignment horizontal="left"/>
    </xf>
    <xf numFmtId="0" fontId="5" fillId="0" borderId="0" xfId="0" applyFont="1" applyAlignment="1"/>
    <xf numFmtId="0" fontId="2" fillId="0" borderId="0" xfId="0" applyFont="1" applyAlignme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2" fontId="5" fillId="0" borderId="18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2" fontId="5" fillId="0" borderId="0" xfId="0" applyNumberFormat="1" applyFont="1" applyBorder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1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2" fontId="5" fillId="0" borderId="18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2" fontId="5" fillId="0" borderId="0" xfId="0" applyNumberFormat="1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2" fontId="5" fillId="0" borderId="18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2" fontId="5" fillId="0" borderId="0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center" wrapText="1"/>
    </xf>
    <xf numFmtId="2" fontId="5" fillId="0" borderId="18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2" fontId="5" fillId="0" borderId="0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/>
    <xf numFmtId="0" fontId="0" fillId="0" borderId="0" xfId="0" applyAlignment="1"/>
    <xf numFmtId="0" fontId="9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9" fillId="0" borderId="27" xfId="0" applyFont="1" applyBorder="1" applyAlignment="1">
      <alignment horizontal="center"/>
    </xf>
    <xf numFmtId="0" fontId="3" fillId="0" borderId="0" xfId="0" applyFont="1" applyAlignment="1">
      <alignment horizontal="center"/>
    </xf>
    <xf numFmtId="2" fontId="5" fillId="0" borderId="24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24" xfId="0" applyNumberFormat="1" applyFont="1" applyBorder="1" applyAlignment="1">
      <alignment horizontal="center" wrapText="1"/>
    </xf>
    <xf numFmtId="2" fontId="5" fillId="0" borderId="2" xfId="0" applyNumberFormat="1" applyFont="1" applyBorder="1" applyAlignment="1">
      <alignment horizontal="center" wrapText="1"/>
    </xf>
    <xf numFmtId="0" fontId="10" fillId="0" borderId="0" xfId="0" applyFont="1" applyAlignment="1">
      <alignment horizontal="center" wrapText="1"/>
    </xf>
    <xf numFmtId="0" fontId="4" fillId="0" borderId="34" xfId="0" applyFont="1" applyBorder="1" applyAlignment="1">
      <alignment horizontal="center" wrapText="1" shrinkToFit="1"/>
    </xf>
    <xf numFmtId="0" fontId="3" fillId="0" borderId="35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 wrapText="1" shrinkToFit="1"/>
    </xf>
    <xf numFmtId="0" fontId="9" fillId="0" borderId="30" xfId="0" applyFont="1" applyBorder="1" applyAlignment="1">
      <alignment horizontal="center" vertical="center" wrapText="1" shrinkToFit="1"/>
    </xf>
    <xf numFmtId="2" fontId="9" fillId="0" borderId="36" xfId="0" applyNumberFormat="1" applyFont="1" applyBorder="1" applyAlignment="1">
      <alignment horizontal="center" vertical="center" wrapText="1"/>
    </xf>
    <xf numFmtId="2" fontId="9" fillId="0" borderId="30" xfId="0" applyNumberFormat="1" applyFont="1" applyBorder="1" applyAlignment="1">
      <alignment horizontal="center" vertical="center" wrapText="1"/>
    </xf>
    <xf numFmtId="2" fontId="9" fillId="0" borderId="37" xfId="0" applyNumberFormat="1" applyFont="1" applyBorder="1" applyAlignment="1">
      <alignment horizontal="center" vertical="center" wrapText="1"/>
    </xf>
    <xf numFmtId="2" fontId="9" fillId="0" borderId="31" xfId="0" applyNumberFormat="1" applyFont="1" applyBorder="1" applyAlignment="1">
      <alignment horizontal="center" vertical="center" wrapText="1"/>
    </xf>
    <xf numFmtId="0" fontId="9" fillId="0" borderId="38" xfId="0" applyFont="1" applyBorder="1" applyAlignment="1">
      <alignment horizontal="center" vertical="center" wrapText="1" shrinkToFit="1"/>
    </xf>
    <xf numFmtId="0" fontId="9" fillId="0" borderId="39" xfId="0" applyFont="1" applyBorder="1" applyAlignment="1">
      <alignment horizontal="center" vertical="center" wrapText="1" shrinkToFit="1"/>
    </xf>
    <xf numFmtId="0" fontId="9" fillId="0" borderId="40" xfId="0" applyFont="1" applyBorder="1" applyAlignment="1">
      <alignment horizontal="center" vertical="center" wrapText="1"/>
    </xf>
    <xf numFmtId="0" fontId="9" fillId="0" borderId="4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2" fontId="5" fillId="0" borderId="25" xfId="0" applyNumberFormat="1" applyFont="1" applyBorder="1" applyAlignment="1">
      <alignment horizontal="center"/>
    </xf>
    <xf numFmtId="2" fontId="5" fillId="0" borderId="18" xfId="0" applyNumberFormat="1" applyFont="1" applyBorder="1" applyAlignment="1">
      <alignment horizontal="center"/>
    </xf>
    <xf numFmtId="2" fontId="5" fillId="0" borderId="10" xfId="0" applyNumberFormat="1" applyFont="1" applyBorder="1" applyAlignment="1">
      <alignment horizontal="center"/>
    </xf>
    <xf numFmtId="2" fontId="5" fillId="0" borderId="19" xfId="0" applyNumberFormat="1" applyFont="1" applyBorder="1" applyAlignment="1">
      <alignment horizontal="center"/>
    </xf>
    <xf numFmtId="2" fontId="5" fillId="0" borderId="14" xfId="0" applyNumberFormat="1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2" fontId="5" fillId="0" borderId="21" xfId="0" applyNumberFormat="1" applyFont="1" applyBorder="1" applyAlignment="1">
      <alignment horizontal="center" vertical="center" wrapText="1"/>
    </xf>
    <xf numFmtId="2" fontId="5" fillId="0" borderId="6" xfId="0" applyNumberFormat="1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39" xfId="0" applyFont="1" applyBorder="1" applyAlignment="1">
      <alignment horizontal="center" vertical="center" wrapText="1"/>
    </xf>
    <xf numFmtId="2" fontId="5" fillId="0" borderId="22" xfId="0" applyNumberFormat="1" applyFont="1" applyBorder="1" applyAlignment="1">
      <alignment horizontal="center"/>
    </xf>
    <xf numFmtId="2" fontId="5" fillId="0" borderId="23" xfId="0" applyNumberFormat="1" applyFont="1" applyBorder="1" applyAlignment="1">
      <alignment horizontal="center"/>
    </xf>
    <xf numFmtId="0" fontId="5" fillId="0" borderId="52" xfId="0" applyFont="1" applyBorder="1" applyAlignment="1">
      <alignment horizontal="center" vertical="center" wrapText="1"/>
    </xf>
    <xf numFmtId="2" fontId="5" fillId="0" borderId="53" xfId="0" applyNumberFormat="1" applyFont="1" applyBorder="1" applyAlignment="1">
      <alignment horizontal="center"/>
    </xf>
    <xf numFmtId="2" fontId="5" fillId="0" borderId="54" xfId="0" applyNumberFormat="1" applyFont="1" applyBorder="1" applyAlignment="1">
      <alignment horizontal="center"/>
    </xf>
    <xf numFmtId="2" fontId="5" fillId="0" borderId="55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34" xfId="0" applyFont="1" applyBorder="1" applyAlignment="1">
      <alignment horizontal="center" wrapText="1"/>
    </xf>
    <xf numFmtId="0" fontId="0" fillId="0" borderId="6" xfId="0" applyBorder="1"/>
    <xf numFmtId="0" fontId="0" fillId="0" borderId="39" xfId="0" applyBorder="1"/>
    <xf numFmtId="0" fontId="0" fillId="0" borderId="10" xfId="0" applyBorder="1"/>
    <xf numFmtId="0" fontId="0" fillId="0" borderId="22" xfId="0" applyBorder="1"/>
    <xf numFmtId="0" fontId="0" fillId="0" borderId="14" xfId="0" applyBorder="1"/>
    <xf numFmtId="0" fontId="0" fillId="0" borderId="23" xfId="0" applyBorder="1"/>
    <xf numFmtId="0" fontId="0" fillId="0" borderId="2" xfId="0" applyBorder="1"/>
    <xf numFmtId="0" fontId="0" fillId="0" borderId="25" xfId="0" applyBorder="1"/>
    <xf numFmtId="0" fontId="3" fillId="0" borderId="27" xfId="0" applyFont="1" applyBorder="1" applyAlignment="1">
      <alignment horizontal="center"/>
    </xf>
    <xf numFmtId="0" fontId="3" fillId="0" borderId="27" xfId="0" applyFont="1" applyBorder="1" applyAlignment="1">
      <alignment horizontal="left"/>
    </xf>
    <xf numFmtId="0" fontId="11" fillId="0" borderId="0" xfId="0" applyFont="1" applyBorder="1"/>
    <xf numFmtId="0" fontId="11" fillId="0" borderId="0" xfId="0" applyFont="1" applyFill="1" applyBorder="1" applyAlignment="1">
      <alignment wrapText="1"/>
    </xf>
    <xf numFmtId="0" fontId="11" fillId="0" borderId="0" xfId="0" applyFont="1" applyFill="1" applyBorder="1"/>
    <xf numFmtId="2" fontId="11" fillId="0" borderId="0" xfId="0" applyNumberFormat="1" applyFont="1" applyFill="1" applyBorder="1"/>
    <xf numFmtId="2" fontId="12" fillId="0" borderId="0" xfId="0" applyNumberFormat="1" applyFont="1" applyFill="1" applyBorder="1"/>
    <xf numFmtId="0" fontId="12" fillId="0" borderId="0" xfId="0" applyFont="1" applyFill="1" applyBorder="1"/>
    <xf numFmtId="0" fontId="11" fillId="0" borderId="0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44"/>
  <sheetViews>
    <sheetView tabSelected="1" zoomScale="110" zoomScaleNormal="110" workbookViewId="0">
      <selection activeCell="B1" sqref="B1:I1"/>
    </sheetView>
  </sheetViews>
  <sheetFormatPr defaultColWidth="9.140625" defaultRowHeight="15.75" outlineLevelRow="1"/>
  <cols>
    <col min="1" max="1" width="2.85546875" style="1" customWidth="1"/>
    <col min="2" max="2" width="52.85546875" style="1" customWidth="1"/>
    <col min="3" max="3" width="11.42578125" style="29" customWidth="1"/>
    <col min="4" max="4" width="9.42578125" style="2" customWidth="1"/>
    <col min="5" max="5" width="9.28515625" style="2" customWidth="1"/>
    <col min="6" max="6" width="10.28515625" style="2" customWidth="1"/>
    <col min="7" max="7" width="10.42578125" style="1" customWidth="1"/>
    <col min="8" max="8" width="10.28515625" style="1" customWidth="1"/>
    <col min="9" max="9" width="11.28515625" style="1" customWidth="1"/>
    <col min="10" max="10" width="10.7109375" style="1" bestFit="1" customWidth="1"/>
    <col min="11" max="13" width="9.140625" style="1"/>
    <col min="14" max="14" width="14.42578125" style="232" customWidth="1"/>
    <col min="15" max="15" width="13" style="232" customWidth="1"/>
    <col min="16" max="16" width="14.5703125" style="232" customWidth="1"/>
    <col min="17" max="17" width="12.85546875" style="232" customWidth="1"/>
    <col min="18" max="19" width="9.140625" style="232"/>
    <col min="20" max="16384" width="9.140625" style="1"/>
  </cols>
  <sheetData>
    <row r="1" spans="1:18">
      <c r="B1" s="137"/>
      <c r="C1" s="137"/>
      <c r="D1" s="137"/>
      <c r="E1" s="137"/>
      <c r="F1" s="137"/>
      <c r="G1" s="137"/>
      <c r="H1" s="137"/>
      <c r="I1" s="137"/>
    </row>
    <row r="2" spans="1:18" ht="19.5" customHeight="1">
      <c r="A2" s="18"/>
      <c r="B2" s="186" t="s">
        <v>161</v>
      </c>
      <c r="C2" s="186"/>
      <c r="D2" s="186"/>
      <c r="E2" s="186"/>
      <c r="F2" s="186"/>
      <c r="G2" s="186"/>
      <c r="H2" s="186"/>
      <c r="I2" s="186"/>
    </row>
    <row r="3" spans="1:18" ht="20.25" customHeight="1">
      <c r="A3" s="18"/>
      <c r="B3" s="186"/>
      <c r="C3" s="186"/>
      <c r="D3" s="186"/>
      <c r="E3" s="186"/>
      <c r="F3" s="186"/>
      <c r="G3" s="186"/>
      <c r="H3" s="186"/>
      <c r="I3" s="186"/>
    </row>
    <row r="4" spans="1:18" ht="14.25" customHeight="1"/>
    <row r="5" spans="1:18">
      <c r="B5" s="1" t="s">
        <v>0</v>
      </c>
      <c r="D5" s="200" t="s">
        <v>16</v>
      </c>
      <c r="E5" s="200"/>
      <c r="F5" s="200"/>
    </row>
    <row r="6" spans="1:18">
      <c r="B6" s="1" t="s">
        <v>1</v>
      </c>
      <c r="D6" s="3">
        <v>1962</v>
      </c>
      <c r="E6" s="3"/>
      <c r="F6" s="3"/>
    </row>
    <row r="7" spans="1:18" hidden="1" outlineLevel="1">
      <c r="B7" s="1" t="s">
        <v>2</v>
      </c>
      <c r="D7" s="3">
        <v>2</v>
      </c>
      <c r="E7" s="3"/>
      <c r="F7" s="3"/>
    </row>
    <row r="8" spans="1:18" hidden="1" outlineLevel="1">
      <c r="B8" s="1" t="s">
        <v>3</v>
      </c>
      <c r="D8" s="3">
        <v>16</v>
      </c>
      <c r="E8" s="3"/>
      <c r="F8" s="3"/>
    </row>
    <row r="9" spans="1:18" ht="30.75" hidden="1" customHeight="1" outlineLevel="1">
      <c r="B9" s="4" t="s">
        <v>4</v>
      </c>
      <c r="C9" s="37"/>
      <c r="D9" s="3" t="s">
        <v>17</v>
      </c>
      <c r="E9" s="3"/>
      <c r="F9" s="3"/>
    </row>
    <row r="10" spans="1:18" collapsed="1">
      <c r="B10" s="1" t="s">
        <v>5</v>
      </c>
      <c r="D10" s="16" t="s">
        <v>92</v>
      </c>
      <c r="E10" s="3"/>
      <c r="F10" s="3"/>
      <c r="J10" s="6"/>
    </row>
    <row r="11" spans="1:18" hidden="1" outlineLevel="1">
      <c r="B11" s="1" t="s">
        <v>6</v>
      </c>
      <c r="D11" s="3" t="s">
        <v>7</v>
      </c>
      <c r="E11" s="3"/>
      <c r="F11" s="3"/>
    </row>
    <row r="12" spans="1:18" ht="30.75" hidden="1" customHeight="1" outlineLevel="1">
      <c r="B12" s="4" t="s">
        <v>8</v>
      </c>
      <c r="C12" s="37"/>
      <c r="D12" s="201" t="s">
        <v>9</v>
      </c>
      <c r="E12" s="201"/>
      <c r="F12" s="3"/>
      <c r="J12" s="6"/>
    </row>
    <row r="13" spans="1:18" ht="31.5" customHeight="1" collapsed="1" thickBot="1">
      <c r="B13" s="187" t="s">
        <v>132</v>
      </c>
      <c r="C13" s="187"/>
      <c r="D13" s="187"/>
      <c r="E13" s="187"/>
      <c r="F13" s="187"/>
      <c r="G13" s="187"/>
      <c r="H13" s="187"/>
      <c r="I13" s="187"/>
      <c r="J13" s="124"/>
      <c r="K13" s="124"/>
      <c r="M13" s="6"/>
      <c r="N13" s="233" t="s">
        <v>133</v>
      </c>
      <c r="O13" s="233" t="s">
        <v>134</v>
      </c>
      <c r="P13" s="233" t="s">
        <v>135</v>
      </c>
      <c r="Q13" s="233" t="s">
        <v>136</v>
      </c>
    </row>
    <row r="14" spans="1:18" ht="27.75" customHeight="1">
      <c r="B14" s="188" t="s">
        <v>137</v>
      </c>
      <c r="C14" s="190" t="s">
        <v>138</v>
      </c>
      <c r="D14" s="190" t="s">
        <v>139</v>
      </c>
      <c r="E14" s="192" t="s">
        <v>140</v>
      </c>
      <c r="F14" s="194" t="s">
        <v>141</v>
      </c>
      <c r="G14" s="196" t="s">
        <v>142</v>
      </c>
      <c r="H14" s="197"/>
      <c r="I14" s="198" t="s">
        <v>163</v>
      </c>
      <c r="J14" s="125"/>
      <c r="K14" s="125"/>
      <c r="M14" s="6"/>
      <c r="N14" s="233"/>
      <c r="O14" s="233"/>
      <c r="P14" s="233"/>
      <c r="Q14" s="233"/>
    </row>
    <row r="15" spans="1:18" ht="45" customHeight="1" thickBot="1">
      <c r="B15" s="189"/>
      <c r="C15" s="191"/>
      <c r="D15" s="191"/>
      <c r="E15" s="193"/>
      <c r="F15" s="195"/>
      <c r="G15" s="48" t="s">
        <v>121</v>
      </c>
      <c r="H15" s="49" t="s">
        <v>122</v>
      </c>
      <c r="I15" s="199"/>
      <c r="J15" s="125"/>
      <c r="K15" s="125"/>
      <c r="N15" s="234">
        <v>30384.41</v>
      </c>
      <c r="O15" s="234">
        <v>34131.699999999997</v>
      </c>
      <c r="P15" s="234">
        <f>31654.87*0.96</f>
        <v>30388.675199999998</v>
      </c>
      <c r="Q15" s="234">
        <f>35397.06*0.96</f>
        <v>33981.177599999995</v>
      </c>
      <c r="R15" s="232">
        <f>(N15+O15)/(P15+Q15)*100</f>
        <v>100.22721381770816</v>
      </c>
    </row>
    <row r="16" spans="1:18" ht="50.25" customHeight="1">
      <c r="B16" s="110" t="s">
        <v>143</v>
      </c>
      <c r="C16" s="51" t="s">
        <v>144</v>
      </c>
      <c r="D16" s="52" t="s">
        <v>145</v>
      </c>
      <c r="E16" s="53">
        <v>0</v>
      </c>
      <c r="F16" s="54">
        <v>0</v>
      </c>
      <c r="G16" s="55">
        <f>($N$15/$N$16*E16)+($O$15/$O$16*F16)</f>
        <v>0</v>
      </c>
      <c r="H16" s="56">
        <f>($P$15/$P$16*E16)+($Q$15/$Q$16*F16)</f>
        <v>0</v>
      </c>
      <c r="I16" s="57">
        <f>H16-G16</f>
        <v>0</v>
      </c>
      <c r="J16" s="126"/>
      <c r="K16" s="126"/>
      <c r="L16" s="7"/>
      <c r="M16" s="58"/>
      <c r="N16" s="235">
        <v>7.81</v>
      </c>
      <c r="O16" s="234">
        <v>8.8699999999999992</v>
      </c>
      <c r="P16" s="235">
        <v>7.81</v>
      </c>
      <c r="Q16" s="234">
        <v>8.8699999999999992</v>
      </c>
    </row>
    <row r="17" spans="2:17" ht="51">
      <c r="B17" s="127" t="s">
        <v>129</v>
      </c>
      <c r="C17" s="51" t="s">
        <v>144</v>
      </c>
      <c r="D17" s="52" t="s">
        <v>145</v>
      </c>
      <c r="E17" s="41">
        <v>1.1299999999999999</v>
      </c>
      <c r="F17" s="103">
        <v>1.17</v>
      </c>
      <c r="G17" s="55">
        <f t="shared" ref="G17:G27" si="0">($N$15/$N$16*E17)+($O$15/$O$16*F17)</f>
        <v>8898.3599345937255</v>
      </c>
      <c r="H17" s="56">
        <f t="shared" ref="H17:H21" si="1">($P$15/$P$16*E17)+($Q$15/$Q$16*F17)</f>
        <v>8879.1223484567945</v>
      </c>
      <c r="I17" s="57">
        <f t="shared" ref="I17:I27" si="2">H17-G17</f>
        <v>-19.237586136930986</v>
      </c>
      <c r="J17" s="126"/>
      <c r="K17" s="126"/>
      <c r="L17" s="8"/>
      <c r="M17" s="8"/>
      <c r="N17" s="236"/>
      <c r="O17" s="237"/>
      <c r="P17" s="237"/>
      <c r="Q17" s="237"/>
    </row>
    <row r="18" spans="2:17" ht="52.5" customHeight="1">
      <c r="B18" s="62" t="s">
        <v>123</v>
      </c>
      <c r="C18" s="51" t="s">
        <v>144</v>
      </c>
      <c r="D18" s="52" t="s">
        <v>145</v>
      </c>
      <c r="E18" s="41">
        <v>0.28000000000000003</v>
      </c>
      <c r="F18" s="103">
        <v>0.27</v>
      </c>
      <c r="G18" s="55">
        <f t="shared" si="0"/>
        <v>2128.284012287314</v>
      </c>
      <c r="H18" s="56">
        <f t="shared" si="1"/>
        <v>2123.8550716472246</v>
      </c>
      <c r="I18" s="57">
        <f t="shared" si="2"/>
        <v>-4.4289406400894222</v>
      </c>
      <c r="J18" s="126"/>
      <c r="K18" s="126"/>
      <c r="M18" s="6"/>
      <c r="N18" s="234"/>
      <c r="O18" s="234"/>
      <c r="P18" s="234"/>
      <c r="Q18" s="234"/>
    </row>
    <row r="19" spans="2:17" ht="25.5">
      <c r="B19" s="62" t="s">
        <v>146</v>
      </c>
      <c r="C19" s="59" t="s">
        <v>147</v>
      </c>
      <c r="D19" s="52" t="s">
        <v>145</v>
      </c>
      <c r="E19" s="41">
        <v>0</v>
      </c>
      <c r="F19" s="103">
        <v>0</v>
      </c>
      <c r="G19" s="55">
        <f t="shared" si="0"/>
        <v>0</v>
      </c>
      <c r="H19" s="56">
        <f t="shared" si="1"/>
        <v>0</v>
      </c>
      <c r="I19" s="57">
        <f t="shared" si="2"/>
        <v>0</v>
      </c>
      <c r="J19" s="126"/>
      <c r="K19" s="126"/>
      <c r="M19" s="6"/>
      <c r="N19" s="234"/>
      <c r="O19" s="234"/>
      <c r="P19" s="234"/>
      <c r="Q19" s="234"/>
    </row>
    <row r="20" spans="2:17" ht="51">
      <c r="B20" s="127" t="s">
        <v>124</v>
      </c>
      <c r="C20" s="51" t="s">
        <v>144</v>
      </c>
      <c r="D20" s="52" t="s">
        <v>145</v>
      </c>
      <c r="E20" s="41">
        <v>1.1399999999999999</v>
      </c>
      <c r="F20" s="103">
        <v>1.33</v>
      </c>
      <c r="G20" s="55">
        <f t="shared" si="0"/>
        <v>9552.9433465319962</v>
      </c>
      <c r="H20" s="56">
        <f t="shared" si="1"/>
        <v>9530.9960486561467</v>
      </c>
      <c r="I20" s="57">
        <f t="shared" si="2"/>
        <v>-21.947297875849472</v>
      </c>
      <c r="J20" s="126"/>
      <c r="K20" s="126"/>
      <c r="N20" s="234"/>
      <c r="O20" s="234"/>
      <c r="P20" s="234"/>
      <c r="Q20" s="234"/>
    </row>
    <row r="21" spans="2:17" ht="145.5" customHeight="1">
      <c r="B21" s="127" t="s">
        <v>125</v>
      </c>
      <c r="C21" s="51" t="s">
        <v>148</v>
      </c>
      <c r="D21" s="52" t="s">
        <v>145</v>
      </c>
      <c r="E21" s="41">
        <v>3.67</v>
      </c>
      <c r="F21" s="103">
        <v>3.33</v>
      </c>
      <c r="G21" s="55">
        <f t="shared" si="0"/>
        <v>27091.766860036929</v>
      </c>
      <c r="H21" s="56">
        <f t="shared" si="1"/>
        <v>27037.261584886837</v>
      </c>
      <c r="I21" s="57">
        <f t="shared" si="2"/>
        <v>-54.50527515009162</v>
      </c>
      <c r="J21" s="126"/>
      <c r="K21" s="126"/>
      <c r="L21" s="8"/>
      <c r="M21" s="60"/>
      <c r="N21" s="237"/>
      <c r="O21" s="237"/>
      <c r="P21" s="237"/>
      <c r="Q21" s="237"/>
    </row>
    <row r="22" spans="2:17" ht="27.75" customHeight="1">
      <c r="B22" s="62" t="s">
        <v>149</v>
      </c>
      <c r="C22" s="51" t="s">
        <v>147</v>
      </c>
      <c r="D22" s="52" t="s">
        <v>145</v>
      </c>
      <c r="E22" s="41">
        <v>1.94</v>
      </c>
      <c r="F22" s="103">
        <v>2</v>
      </c>
      <c r="G22" s="55">
        <v>14409.96</v>
      </c>
      <c r="H22" s="40">
        <v>14629.64</v>
      </c>
      <c r="I22" s="57">
        <f t="shared" si="2"/>
        <v>219.68000000000029</v>
      </c>
      <c r="J22" s="126"/>
      <c r="K22" s="126"/>
      <c r="N22" s="234"/>
      <c r="O22" s="234"/>
      <c r="P22" s="234"/>
      <c r="Q22" s="234"/>
    </row>
    <row r="23" spans="2:17" ht="108.75" customHeight="1">
      <c r="B23" s="127" t="s">
        <v>150</v>
      </c>
      <c r="C23" s="51" t="s">
        <v>144</v>
      </c>
      <c r="D23" s="52" t="s">
        <v>145</v>
      </c>
      <c r="E23" s="41">
        <v>0.22</v>
      </c>
      <c r="F23" s="103">
        <v>0.21</v>
      </c>
      <c r="G23" s="55">
        <f t="shared" si="0"/>
        <v>1663.9774527208347</v>
      </c>
      <c r="H23" s="56">
        <f t="shared" ref="H23" si="3">($P$15/$P$16*E23)+($Q$15/$Q$16*F23)</f>
        <v>1660.5339347126728</v>
      </c>
      <c r="I23" s="57">
        <f t="shared" si="2"/>
        <v>-3.4435180081618455</v>
      </c>
      <c r="J23" s="126"/>
      <c r="K23" s="126"/>
      <c r="N23" s="234"/>
      <c r="O23" s="234"/>
      <c r="P23" s="234"/>
      <c r="Q23" s="234"/>
    </row>
    <row r="24" spans="2:17" ht="48">
      <c r="B24" s="62" t="s">
        <v>151</v>
      </c>
      <c r="C24" s="51" t="s">
        <v>144</v>
      </c>
      <c r="D24" s="52" t="s">
        <v>145</v>
      </c>
      <c r="E24" s="41">
        <v>4.29</v>
      </c>
      <c r="F24" s="103">
        <v>4.29</v>
      </c>
      <c r="G24" s="55">
        <v>33380.06</v>
      </c>
      <c r="H24" s="128">
        <v>25433</v>
      </c>
      <c r="I24" s="57">
        <f t="shared" si="2"/>
        <v>-7947.0599999999977</v>
      </c>
      <c r="J24" s="126"/>
      <c r="K24" s="126"/>
      <c r="M24" s="6"/>
      <c r="N24" s="234"/>
      <c r="O24" s="234"/>
      <c r="P24" s="234"/>
      <c r="Q24" s="234"/>
    </row>
    <row r="25" spans="2:17" ht="63.75">
      <c r="B25" s="127" t="s">
        <v>152</v>
      </c>
      <c r="C25" s="59" t="s">
        <v>148</v>
      </c>
      <c r="D25" s="52" t="s">
        <v>145</v>
      </c>
      <c r="E25" s="41">
        <v>0.71</v>
      </c>
      <c r="F25" s="103">
        <v>1.44</v>
      </c>
      <c r="G25" s="55">
        <f t="shared" si="0"/>
        <v>8303.329350210106</v>
      </c>
      <c r="H25" s="56">
        <f t="shared" ref="H25:H27" si="4">($P$15/$P$16*E25)+($Q$15/$Q$16*F25)</f>
        <v>8279.2805391821257</v>
      </c>
      <c r="I25" s="57">
        <f t="shared" si="2"/>
        <v>-24.048811027980264</v>
      </c>
      <c r="J25" s="126"/>
      <c r="K25" s="126"/>
      <c r="L25" s="108"/>
      <c r="M25" s="6"/>
      <c r="N25" s="234"/>
      <c r="O25" s="234"/>
      <c r="P25" s="234"/>
      <c r="Q25" s="234"/>
    </row>
    <row r="26" spans="2:17" ht="63.75">
      <c r="B26" s="127" t="s">
        <v>126</v>
      </c>
      <c r="C26" s="59" t="s">
        <v>148</v>
      </c>
      <c r="D26" s="52" t="s">
        <v>145</v>
      </c>
      <c r="E26" s="41">
        <v>0.25</v>
      </c>
      <c r="F26" s="103">
        <v>0.83</v>
      </c>
      <c r="G26" s="55">
        <f t="shared" si="0"/>
        <v>4166.4467415232402</v>
      </c>
      <c r="H26" s="56">
        <f t="shared" si="4"/>
        <v>4152.4983119736353</v>
      </c>
      <c r="I26" s="57">
        <f t="shared" si="2"/>
        <v>-13.948429549604953</v>
      </c>
      <c r="J26" s="126"/>
      <c r="K26" s="126"/>
      <c r="L26" s="64"/>
      <c r="M26" s="6"/>
      <c r="N26" s="238"/>
      <c r="O26" s="238"/>
      <c r="P26" s="234"/>
      <c r="Q26" s="234"/>
    </row>
    <row r="27" spans="2:17">
      <c r="B27" s="62" t="s">
        <v>127</v>
      </c>
      <c r="C27" s="129" t="s">
        <v>148</v>
      </c>
      <c r="D27" s="52" t="s">
        <v>145</v>
      </c>
      <c r="E27" s="41">
        <v>0.41</v>
      </c>
      <c r="F27" s="103">
        <v>0.28999999999999998</v>
      </c>
      <c r="G27" s="55">
        <f t="shared" si="0"/>
        <v>2711.0023020958588</v>
      </c>
      <c r="H27" s="56">
        <f t="shared" si="4"/>
        <v>2706.3049604845633</v>
      </c>
      <c r="I27" s="57">
        <f t="shared" si="2"/>
        <v>-4.697341611295542</v>
      </c>
      <c r="J27" s="126"/>
      <c r="K27" s="126"/>
      <c r="N27" s="234"/>
      <c r="O27" s="234"/>
      <c r="P27" s="234"/>
      <c r="Q27" s="234"/>
    </row>
    <row r="28" spans="2:17" ht="16.5" thickBot="1">
      <c r="B28" s="33" t="s">
        <v>128</v>
      </c>
      <c r="C28" s="130"/>
      <c r="D28" s="130"/>
      <c r="E28" s="34">
        <f>SUM(E16:E27)</f>
        <v>14.040000000000003</v>
      </c>
      <c r="F28" s="131">
        <f>SUM(F16:F27)</f>
        <v>15.16</v>
      </c>
      <c r="G28" s="132">
        <f>SUM(G16:G27)</f>
        <v>112306.12999999999</v>
      </c>
      <c r="H28" s="133">
        <f>SUM(H16:H27)</f>
        <v>104432.49280000001</v>
      </c>
      <c r="I28" s="134">
        <f>H28-G28</f>
        <v>-7873.6371999999828</v>
      </c>
      <c r="J28" s="135"/>
      <c r="K28" s="135"/>
      <c r="N28" s="234"/>
      <c r="O28" s="234"/>
      <c r="P28" s="234"/>
      <c r="Q28" s="234"/>
    </row>
    <row r="29" spans="2:17">
      <c r="B29" s="6"/>
      <c r="C29" s="6"/>
      <c r="D29" s="6"/>
      <c r="E29" s="29"/>
      <c r="F29" s="29"/>
      <c r="G29" s="29"/>
      <c r="H29" s="29"/>
      <c r="I29" s="2"/>
      <c r="J29" s="2"/>
      <c r="K29" s="2"/>
      <c r="N29" s="234"/>
      <c r="O29" s="234"/>
      <c r="P29" s="234"/>
      <c r="Q29" s="234"/>
    </row>
    <row r="30" spans="2:17" ht="16.5" thickBot="1">
      <c r="B30" s="207" t="s">
        <v>153</v>
      </c>
      <c r="C30" s="207"/>
      <c r="D30" s="207"/>
      <c r="E30" s="207"/>
      <c r="F30" s="207"/>
      <c r="G30" s="207"/>
      <c r="H30" s="207"/>
      <c r="I30" s="207"/>
      <c r="J30" s="102"/>
      <c r="K30" s="102"/>
      <c r="N30" s="234"/>
      <c r="O30" s="234"/>
      <c r="P30" s="234"/>
      <c r="Q30" s="234"/>
    </row>
    <row r="31" spans="2:17" ht="44.25" customHeight="1">
      <c r="B31" s="20"/>
      <c r="C31" s="65"/>
      <c r="D31" s="208" t="s">
        <v>154</v>
      </c>
      <c r="E31" s="209"/>
      <c r="F31" s="210" t="s">
        <v>10</v>
      </c>
      <c r="G31" s="211"/>
      <c r="H31" s="210" t="s">
        <v>11</v>
      </c>
      <c r="I31" s="212"/>
      <c r="J31" s="108"/>
      <c r="K31" s="108"/>
      <c r="L31" s="24"/>
      <c r="M31" s="9"/>
      <c r="N31" s="238"/>
      <c r="O31" s="238"/>
      <c r="P31" s="238"/>
      <c r="Q31" s="238"/>
    </row>
    <row r="32" spans="2:17">
      <c r="B32" s="21" t="s">
        <v>12</v>
      </c>
      <c r="C32" s="67"/>
      <c r="D32" s="203">
        <f>F32+H32</f>
        <v>112306.13</v>
      </c>
      <c r="E32" s="204"/>
      <c r="F32" s="203">
        <f>30384.41+34131.7+14409.96</f>
        <v>78926.070000000007</v>
      </c>
      <c r="G32" s="204"/>
      <c r="H32" s="203">
        <f>G24</f>
        <v>33380.06</v>
      </c>
      <c r="I32" s="213"/>
      <c r="J32" s="109"/>
      <c r="K32" s="109"/>
      <c r="L32" s="10"/>
      <c r="M32" s="10"/>
      <c r="N32" s="234"/>
      <c r="O32" s="234"/>
      <c r="P32" s="234"/>
      <c r="Q32" s="234"/>
    </row>
    <row r="33" spans="2:17">
      <c r="B33" s="21" t="s">
        <v>13</v>
      </c>
      <c r="C33" s="67"/>
      <c r="D33" s="203">
        <f>F33+H33</f>
        <v>111353.87</v>
      </c>
      <c r="E33" s="204"/>
      <c r="F33" s="203">
        <f>30442.87+34197.36+13269.36</f>
        <v>77909.59</v>
      </c>
      <c r="G33" s="204"/>
      <c r="H33" s="203">
        <v>33444.28</v>
      </c>
      <c r="I33" s="213"/>
      <c r="J33" s="109"/>
      <c r="K33" s="109"/>
      <c r="L33" s="25"/>
      <c r="M33" s="10"/>
      <c r="N33" s="234"/>
      <c r="O33" s="234"/>
      <c r="P33" s="234"/>
      <c r="Q33" s="234"/>
    </row>
    <row r="34" spans="2:17" ht="16.5" thickBot="1">
      <c r="B34" s="22" t="s">
        <v>114</v>
      </c>
      <c r="C34" s="69"/>
      <c r="D34" s="205">
        <f>F34+H34</f>
        <v>104432.49280000001</v>
      </c>
      <c r="E34" s="206"/>
      <c r="F34" s="205">
        <f>H16+H17+H18+H19+H20+H21+H22+H23+H25+H26+H27</f>
        <v>78999.492800000007</v>
      </c>
      <c r="G34" s="206"/>
      <c r="H34" s="205">
        <f>H24</f>
        <v>25433</v>
      </c>
      <c r="I34" s="214"/>
      <c r="J34" s="109"/>
      <c r="K34" s="109"/>
      <c r="L34" s="10"/>
      <c r="M34" s="10"/>
      <c r="N34" s="234"/>
      <c r="O34" s="234"/>
      <c r="P34" s="234"/>
      <c r="Q34" s="234"/>
    </row>
    <row r="35" spans="2:17" ht="27" thickBot="1">
      <c r="B35" s="23" t="s">
        <v>115</v>
      </c>
      <c r="C35" s="72"/>
      <c r="D35" s="184">
        <f>F35+H35</f>
        <v>6921.3771999999881</v>
      </c>
      <c r="E35" s="185"/>
      <c r="F35" s="182">
        <f>F33-F34</f>
        <v>-1089.9028000000108</v>
      </c>
      <c r="G35" s="183"/>
      <c r="H35" s="182">
        <f>H33-H34</f>
        <v>8011.2799999999988</v>
      </c>
      <c r="I35" s="202"/>
      <c r="J35" s="109"/>
      <c r="K35" s="109"/>
      <c r="L35" s="10"/>
      <c r="M35" s="10"/>
      <c r="N35" s="234"/>
      <c r="O35" s="234"/>
      <c r="P35" s="234"/>
      <c r="Q35" s="234"/>
    </row>
    <row r="36" spans="2:17" ht="34.5" customHeight="1">
      <c r="B36" s="104" t="s">
        <v>116</v>
      </c>
      <c r="C36" s="104"/>
      <c r="D36" s="136"/>
      <c r="E36" s="180" t="s">
        <v>117</v>
      </c>
      <c r="F36" s="180"/>
      <c r="G36" s="178" t="s">
        <v>14</v>
      </c>
      <c r="H36" s="178"/>
      <c r="I36" s="104"/>
      <c r="J36" s="104"/>
      <c r="K36" s="104"/>
      <c r="L36" s="8"/>
      <c r="M36" s="8"/>
      <c r="N36" s="237"/>
      <c r="O36" s="237"/>
      <c r="P36" s="237"/>
      <c r="Q36" s="237"/>
    </row>
    <row r="37" spans="2:17" ht="11.25" customHeight="1">
      <c r="B37" s="104"/>
      <c r="C37" s="104"/>
      <c r="D37" s="104"/>
      <c r="E37" s="179" t="s">
        <v>15</v>
      </c>
      <c r="F37" s="179"/>
      <c r="G37" s="181"/>
      <c r="H37" s="181"/>
      <c r="I37" s="107"/>
      <c r="J37" s="107"/>
      <c r="K37" s="107"/>
      <c r="L37" s="8"/>
      <c r="M37" s="8"/>
      <c r="N37" s="237"/>
      <c r="O37" s="237"/>
      <c r="P37" s="237"/>
      <c r="Q37" s="237"/>
    </row>
    <row r="38" spans="2:17">
      <c r="B38" s="104" t="s">
        <v>118</v>
      </c>
      <c r="C38" s="104"/>
      <c r="D38" s="104"/>
      <c r="E38" s="177" t="s">
        <v>117</v>
      </c>
      <c r="F38" s="177"/>
      <c r="G38" s="178" t="s">
        <v>131</v>
      </c>
      <c r="H38" s="178"/>
      <c r="I38" s="104"/>
      <c r="J38" s="104"/>
      <c r="K38" s="104"/>
      <c r="L38" s="8"/>
      <c r="M38" s="8"/>
      <c r="N38" s="237"/>
      <c r="O38" s="237"/>
      <c r="P38" s="237"/>
      <c r="Q38" s="237"/>
    </row>
    <row r="39" spans="2:17" ht="9.75" customHeight="1">
      <c r="B39" s="104"/>
      <c r="C39" s="104"/>
      <c r="D39" s="104"/>
      <c r="E39" s="179" t="s">
        <v>15</v>
      </c>
      <c r="F39" s="179"/>
      <c r="G39" s="178"/>
      <c r="H39" s="178"/>
      <c r="I39" s="104"/>
      <c r="J39" s="104"/>
      <c r="K39" s="104"/>
      <c r="N39" s="234"/>
      <c r="O39" s="234"/>
      <c r="P39" s="234"/>
      <c r="Q39" s="234"/>
    </row>
    <row r="40" spans="2:17">
      <c r="B40" s="104" t="s">
        <v>119</v>
      </c>
      <c r="C40" s="104"/>
      <c r="D40" s="104"/>
      <c r="E40" s="177" t="s">
        <v>117</v>
      </c>
      <c r="F40" s="177"/>
      <c r="G40" s="178" t="s">
        <v>157</v>
      </c>
      <c r="H40" s="178"/>
      <c r="I40" s="104"/>
      <c r="J40" s="104"/>
      <c r="K40" s="104"/>
      <c r="N40" s="234"/>
      <c r="O40" s="234"/>
      <c r="P40" s="234"/>
      <c r="Q40" s="234"/>
    </row>
    <row r="41" spans="2:17" ht="8.25" customHeight="1">
      <c r="B41" s="27"/>
      <c r="C41" s="27"/>
      <c r="D41" s="27"/>
      <c r="E41" s="179" t="s">
        <v>15</v>
      </c>
      <c r="F41" s="179"/>
      <c r="G41" s="105"/>
      <c r="H41" s="137"/>
      <c r="I41" s="106"/>
      <c r="J41" s="106"/>
      <c r="K41" s="106"/>
      <c r="N41" s="234"/>
      <c r="O41" s="234"/>
      <c r="P41" s="234"/>
      <c r="Q41" s="234"/>
    </row>
    <row r="42" spans="2:17">
      <c r="B42" s="104" t="s">
        <v>120</v>
      </c>
      <c r="C42" s="104"/>
      <c r="D42" s="104"/>
      <c r="E42" s="177" t="s">
        <v>117</v>
      </c>
      <c r="F42" s="177"/>
      <c r="G42" s="178" t="s">
        <v>93</v>
      </c>
      <c r="H42" s="178"/>
    </row>
    <row r="43" spans="2:17" ht="9" customHeight="1">
      <c r="B43" s="138"/>
      <c r="C43" s="138"/>
      <c r="D43" s="138"/>
      <c r="E43" s="179" t="s">
        <v>15</v>
      </c>
      <c r="F43" s="179"/>
      <c r="G43" s="179"/>
      <c r="H43" s="179"/>
    </row>
    <row r="44" spans="2:17">
      <c r="E44" s="101"/>
      <c r="F44" s="101"/>
    </row>
  </sheetData>
  <mergeCells count="42">
    <mergeCell ref="F33:G33"/>
    <mergeCell ref="F34:G34"/>
    <mergeCell ref="F32:G32"/>
    <mergeCell ref="B30:I30"/>
    <mergeCell ref="D31:E31"/>
    <mergeCell ref="F31:G31"/>
    <mergeCell ref="H31:I31"/>
    <mergeCell ref="H32:I32"/>
    <mergeCell ref="H33:I33"/>
    <mergeCell ref="H34:I34"/>
    <mergeCell ref="D33:E33"/>
    <mergeCell ref="D34:E34"/>
    <mergeCell ref="E38:F38"/>
    <mergeCell ref="G38:H38"/>
    <mergeCell ref="B2:I3"/>
    <mergeCell ref="B13:I13"/>
    <mergeCell ref="B14:B15"/>
    <mergeCell ref="C14:C15"/>
    <mergeCell ref="D14:D15"/>
    <mergeCell ref="E14:E15"/>
    <mergeCell ref="F14:F15"/>
    <mergeCell ref="G14:H14"/>
    <mergeCell ref="I14:I15"/>
    <mergeCell ref="D5:F5"/>
    <mergeCell ref="D12:E12"/>
    <mergeCell ref="H35:I35"/>
    <mergeCell ref="D32:E32"/>
    <mergeCell ref="E36:F36"/>
    <mergeCell ref="G36:H36"/>
    <mergeCell ref="E37:F37"/>
    <mergeCell ref="G37:H37"/>
    <mergeCell ref="F35:G35"/>
    <mergeCell ref="D35:E35"/>
    <mergeCell ref="E42:F42"/>
    <mergeCell ref="G42:H42"/>
    <mergeCell ref="E43:F43"/>
    <mergeCell ref="G43:H43"/>
    <mergeCell ref="E39:F39"/>
    <mergeCell ref="G39:H39"/>
    <mergeCell ref="E40:F40"/>
    <mergeCell ref="G40:H40"/>
    <mergeCell ref="E41:F41"/>
  </mergeCells>
  <printOptions horizontalCentered="1"/>
  <pageMargins left="0.19685039370078741" right="0.19685039370078741" top="0.16" bottom="0.23622047244094491" header="0.16" footer="0.24"/>
  <pageSetup paperSize="9" scale="43" orientation="portrait" horizontalDpi="180" verticalDpi="180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43"/>
  <sheetViews>
    <sheetView zoomScale="110" zoomScaleNormal="110" workbookViewId="0">
      <selection activeCell="B1" sqref="B1:I1"/>
    </sheetView>
  </sheetViews>
  <sheetFormatPr defaultColWidth="9.140625" defaultRowHeight="15.75" outlineLevelRow="1"/>
  <cols>
    <col min="1" max="1" width="2.85546875" style="1" customWidth="1"/>
    <col min="2" max="2" width="52" style="1" customWidth="1"/>
    <col min="3" max="3" width="11.28515625" style="35" customWidth="1"/>
    <col min="4" max="4" width="9.5703125" style="2" customWidth="1"/>
    <col min="5" max="5" width="10" style="2" customWidth="1"/>
    <col min="6" max="6" width="10.28515625" style="2" customWidth="1"/>
    <col min="7" max="7" width="9.5703125" style="1" customWidth="1"/>
    <col min="8" max="8" width="10.42578125" style="1" customWidth="1"/>
    <col min="9" max="9" width="10.5703125" style="1" customWidth="1"/>
    <col min="10" max="13" width="9.140625" style="1"/>
    <col min="14" max="14" width="13.42578125" style="232" customWidth="1"/>
    <col min="15" max="15" width="12.140625" style="232" customWidth="1"/>
    <col min="16" max="16" width="12.28515625" style="232" customWidth="1"/>
    <col min="17" max="17" width="14.7109375" style="232" customWidth="1"/>
    <col min="18" max="18" width="9.140625" style="232"/>
    <col min="19" max="16384" width="9.140625" style="1"/>
  </cols>
  <sheetData>
    <row r="1" spans="1:18" ht="19.5" customHeight="1">
      <c r="A1" s="18"/>
      <c r="B1" s="137"/>
      <c r="C1" s="137"/>
      <c r="D1" s="137"/>
      <c r="E1" s="137"/>
      <c r="F1" s="137"/>
      <c r="G1" s="137"/>
      <c r="H1" s="137"/>
      <c r="I1" s="137"/>
    </row>
    <row r="2" spans="1:18" ht="20.25" customHeight="1">
      <c r="A2" s="18"/>
      <c r="B2" s="186" t="s">
        <v>161</v>
      </c>
      <c r="C2" s="186"/>
      <c r="D2" s="186"/>
      <c r="E2" s="186"/>
      <c r="F2" s="186"/>
      <c r="G2" s="186"/>
      <c r="H2" s="186"/>
      <c r="I2" s="186"/>
    </row>
    <row r="3" spans="1:18" ht="20.25" customHeight="1">
      <c r="A3" s="150"/>
      <c r="B3" s="186"/>
      <c r="C3" s="186"/>
      <c r="D3" s="186"/>
      <c r="E3" s="186"/>
      <c r="F3" s="186"/>
      <c r="G3" s="186"/>
      <c r="H3" s="186"/>
      <c r="I3" s="186"/>
    </row>
    <row r="4" spans="1:18" ht="13.5" customHeight="1"/>
    <row r="5" spans="1:18">
      <c r="B5" s="1" t="s">
        <v>0</v>
      </c>
      <c r="D5" s="200" t="s">
        <v>40</v>
      </c>
      <c r="E5" s="200"/>
      <c r="F5" s="200"/>
    </row>
    <row r="6" spans="1:18">
      <c r="B6" s="1" t="s">
        <v>1</v>
      </c>
      <c r="D6" s="11">
        <v>1958</v>
      </c>
      <c r="E6" s="11"/>
      <c r="F6" s="11"/>
    </row>
    <row r="7" spans="1:18" hidden="1" outlineLevel="1">
      <c r="B7" s="1" t="s">
        <v>2</v>
      </c>
      <c r="D7" s="11">
        <v>2</v>
      </c>
      <c r="E7" s="11"/>
      <c r="F7" s="11"/>
    </row>
    <row r="8" spans="1:18" hidden="1" outlineLevel="1">
      <c r="B8" s="1" t="s">
        <v>3</v>
      </c>
      <c r="D8" s="11">
        <v>14</v>
      </c>
      <c r="E8" s="11"/>
      <c r="F8" s="11"/>
    </row>
    <row r="9" spans="1:18" ht="30.75" hidden="1" customHeight="1" outlineLevel="1">
      <c r="B9" s="4" t="s">
        <v>4</v>
      </c>
      <c r="C9" s="36"/>
      <c r="D9" s="11" t="s">
        <v>41</v>
      </c>
      <c r="E9" s="11"/>
      <c r="F9" s="11"/>
    </row>
    <row r="10" spans="1:18" collapsed="1">
      <c r="B10" s="1" t="s">
        <v>5</v>
      </c>
      <c r="D10" s="16" t="s">
        <v>95</v>
      </c>
      <c r="E10" s="11"/>
      <c r="F10" s="11"/>
      <c r="I10" s="6"/>
    </row>
    <row r="11" spans="1:18" hidden="1" outlineLevel="1">
      <c r="B11" s="1" t="s">
        <v>6</v>
      </c>
      <c r="D11" s="11" t="s">
        <v>7</v>
      </c>
      <c r="E11" s="11"/>
      <c r="F11" s="11"/>
    </row>
    <row r="12" spans="1:18" ht="30.75" hidden="1" customHeight="1" outlineLevel="1">
      <c r="B12" s="4" t="s">
        <v>8</v>
      </c>
      <c r="C12" s="36"/>
      <c r="D12" s="201" t="s">
        <v>42</v>
      </c>
      <c r="E12" s="201"/>
      <c r="F12" s="11"/>
      <c r="I12" s="6"/>
    </row>
    <row r="13" spans="1:18" ht="31.5" customHeight="1" collapsed="1" thickBot="1">
      <c r="B13" s="187" t="s">
        <v>132</v>
      </c>
      <c r="C13" s="187"/>
      <c r="D13" s="187"/>
      <c r="E13" s="187"/>
      <c r="F13" s="187"/>
      <c r="G13" s="187"/>
      <c r="H13" s="187"/>
      <c r="I13" s="187"/>
      <c r="J13" s="124"/>
      <c r="K13" s="124"/>
      <c r="M13" s="6"/>
      <c r="N13" s="233" t="s">
        <v>133</v>
      </c>
      <c r="O13" s="233" t="s">
        <v>134</v>
      </c>
      <c r="P13" s="233" t="s">
        <v>135</v>
      </c>
      <c r="Q13" s="233" t="s">
        <v>136</v>
      </c>
    </row>
    <row r="14" spans="1:18" ht="27.75" customHeight="1">
      <c r="B14" s="188" t="s">
        <v>137</v>
      </c>
      <c r="C14" s="190" t="s">
        <v>138</v>
      </c>
      <c r="D14" s="190" t="s">
        <v>139</v>
      </c>
      <c r="E14" s="192" t="s">
        <v>140</v>
      </c>
      <c r="F14" s="194" t="s">
        <v>141</v>
      </c>
      <c r="G14" s="196" t="s">
        <v>142</v>
      </c>
      <c r="H14" s="197"/>
      <c r="I14" s="198" t="s">
        <v>163</v>
      </c>
      <c r="J14" s="125"/>
      <c r="K14" s="125"/>
      <c r="M14" s="6"/>
      <c r="N14" s="233"/>
      <c r="O14" s="233"/>
      <c r="P14" s="233"/>
      <c r="Q14" s="233"/>
    </row>
    <row r="15" spans="1:18" ht="45" customHeight="1" thickBot="1">
      <c r="B15" s="189"/>
      <c r="C15" s="191"/>
      <c r="D15" s="191"/>
      <c r="E15" s="193"/>
      <c r="F15" s="195"/>
      <c r="G15" s="48" t="s">
        <v>121</v>
      </c>
      <c r="H15" s="49" t="s">
        <v>122</v>
      </c>
      <c r="I15" s="199"/>
      <c r="J15" s="125"/>
      <c r="K15" s="125"/>
      <c r="N15" s="234">
        <v>29585.35</v>
      </c>
      <c r="O15" s="234">
        <v>33234.080000000002</v>
      </c>
      <c r="P15" s="234">
        <f>30863.24*0.96</f>
        <v>29628.7104</v>
      </c>
      <c r="Q15" s="234">
        <f>34511.85*0.96</f>
        <v>33131.375999999997</v>
      </c>
      <c r="R15" s="232">
        <f>(N15+O15)/(P15+Q15)*100</f>
        <v>100.09455627518065</v>
      </c>
    </row>
    <row r="16" spans="1:18" ht="50.25" customHeight="1">
      <c r="B16" s="110" t="s">
        <v>143</v>
      </c>
      <c r="C16" s="51" t="s">
        <v>144</v>
      </c>
      <c r="D16" s="52" t="s">
        <v>145</v>
      </c>
      <c r="E16" s="53">
        <v>0</v>
      </c>
      <c r="F16" s="54">
        <v>0</v>
      </c>
      <c r="G16" s="55">
        <f>($N$15/$N$16*E16)+($O$15/$O$16*F16)</f>
        <v>0</v>
      </c>
      <c r="H16" s="56">
        <f>($P$15/$P$16*E16)+($Q$15/$Q$16*F16)</f>
        <v>0</v>
      </c>
      <c r="I16" s="57">
        <f>H16-G16</f>
        <v>0</v>
      </c>
      <c r="J16" s="126"/>
      <c r="K16" s="126"/>
      <c r="L16" s="7"/>
      <c r="M16" s="58"/>
      <c r="N16" s="235">
        <v>7.81</v>
      </c>
      <c r="O16" s="234">
        <v>8.8699999999999992</v>
      </c>
      <c r="P16" s="235">
        <v>7.81</v>
      </c>
      <c r="Q16" s="234">
        <v>8.8699999999999992</v>
      </c>
    </row>
    <row r="17" spans="2:17" ht="51">
      <c r="B17" s="127" t="s">
        <v>129</v>
      </c>
      <c r="C17" s="51" t="s">
        <v>144</v>
      </c>
      <c r="D17" s="52" t="s">
        <v>145</v>
      </c>
      <c r="E17" s="41">
        <v>1.1299999999999999</v>
      </c>
      <c r="F17" s="153">
        <v>1.17</v>
      </c>
      <c r="G17" s="55">
        <f t="shared" ref="G17:G27" si="0">($N$15/$N$16*E17)+($O$15/$O$16*F17)</f>
        <v>8664.3460657498326</v>
      </c>
      <c r="H17" s="56">
        <f t="shared" ref="H17:H21" si="1">($P$15/$P$16*E17)+($Q$15/$Q$16*F17)</f>
        <v>8657.0725197718639</v>
      </c>
      <c r="I17" s="57">
        <f t="shared" ref="I17:I27" si="2">H17-G17</f>
        <v>-7.2735459779687517</v>
      </c>
      <c r="J17" s="126"/>
      <c r="K17" s="126"/>
      <c r="L17" s="8"/>
      <c r="M17" s="8"/>
      <c r="N17" s="236"/>
      <c r="O17" s="237"/>
      <c r="P17" s="237"/>
      <c r="Q17" s="237"/>
    </row>
    <row r="18" spans="2:17" ht="52.5" customHeight="1">
      <c r="B18" s="62" t="s">
        <v>123</v>
      </c>
      <c r="C18" s="51" t="s">
        <v>144</v>
      </c>
      <c r="D18" s="52" t="s">
        <v>145</v>
      </c>
      <c r="E18" s="41">
        <v>0.28000000000000003</v>
      </c>
      <c r="F18" s="153">
        <v>0.27</v>
      </c>
      <c r="G18" s="55">
        <f t="shared" si="0"/>
        <v>2072.3132652469085</v>
      </c>
      <c r="H18" s="56">
        <f t="shared" si="1"/>
        <v>2070.7415220945022</v>
      </c>
      <c r="I18" s="57">
        <f t="shared" si="2"/>
        <v>-1.5717431524062704</v>
      </c>
      <c r="J18" s="126"/>
      <c r="K18" s="126"/>
      <c r="M18" s="6"/>
      <c r="N18" s="234"/>
      <c r="O18" s="234"/>
      <c r="P18" s="234"/>
      <c r="Q18" s="234"/>
    </row>
    <row r="19" spans="2:17" ht="25.5">
      <c r="B19" s="62" t="s">
        <v>146</v>
      </c>
      <c r="C19" s="59" t="s">
        <v>147</v>
      </c>
      <c r="D19" s="52" t="s">
        <v>145</v>
      </c>
      <c r="E19" s="41">
        <v>0</v>
      </c>
      <c r="F19" s="153">
        <v>0</v>
      </c>
      <c r="G19" s="55">
        <f t="shared" si="0"/>
        <v>0</v>
      </c>
      <c r="H19" s="56">
        <f t="shared" si="1"/>
        <v>0</v>
      </c>
      <c r="I19" s="57">
        <f t="shared" si="2"/>
        <v>0</v>
      </c>
      <c r="J19" s="126"/>
      <c r="K19" s="126"/>
      <c r="M19" s="6"/>
      <c r="N19" s="234"/>
      <c r="O19" s="234"/>
      <c r="P19" s="234"/>
      <c r="Q19" s="234"/>
    </row>
    <row r="20" spans="2:17" ht="51">
      <c r="B20" s="127" t="s">
        <v>124</v>
      </c>
      <c r="C20" s="51" t="s">
        <v>144</v>
      </c>
      <c r="D20" s="52" t="s">
        <v>145</v>
      </c>
      <c r="E20" s="41">
        <v>1.1399999999999999</v>
      </c>
      <c r="F20" s="153">
        <v>1.33</v>
      </c>
      <c r="G20" s="55">
        <f t="shared" si="0"/>
        <v>9301.7147864083145</v>
      </c>
      <c r="H20" s="56">
        <f t="shared" si="1"/>
        <v>9292.6441507147629</v>
      </c>
      <c r="I20" s="57">
        <f t="shared" si="2"/>
        <v>-9.0706356935515942</v>
      </c>
      <c r="J20" s="126"/>
      <c r="K20" s="126"/>
      <c r="N20" s="234"/>
      <c r="O20" s="234"/>
      <c r="P20" s="234"/>
      <c r="Q20" s="234"/>
    </row>
    <row r="21" spans="2:17" ht="145.5" customHeight="1">
      <c r="B21" s="127" t="s">
        <v>125</v>
      </c>
      <c r="C21" s="51" t="s">
        <v>148</v>
      </c>
      <c r="D21" s="52" t="s">
        <v>145</v>
      </c>
      <c r="E21" s="41">
        <v>3.67</v>
      </c>
      <c r="F21" s="153">
        <v>3.33</v>
      </c>
      <c r="G21" s="55">
        <f t="shared" si="0"/>
        <v>26379.29328887747</v>
      </c>
      <c r="H21" s="56">
        <f t="shared" si="1"/>
        <v>26361.111370023398</v>
      </c>
      <c r="I21" s="57">
        <f t="shared" si="2"/>
        <v>-18.181918854072137</v>
      </c>
      <c r="J21" s="126"/>
      <c r="K21" s="126"/>
      <c r="L21" s="8"/>
      <c r="M21" s="60"/>
      <c r="N21" s="237"/>
      <c r="O21" s="237"/>
      <c r="P21" s="237"/>
      <c r="Q21" s="237"/>
    </row>
    <row r="22" spans="2:17" ht="27.75" customHeight="1">
      <c r="B22" s="62" t="s">
        <v>149</v>
      </c>
      <c r="C22" s="51" t="s">
        <v>147</v>
      </c>
      <c r="D22" s="52" t="s">
        <v>145</v>
      </c>
      <c r="E22" s="41">
        <v>1.94</v>
      </c>
      <c r="F22" s="153">
        <v>2</v>
      </c>
      <c r="G22" s="55">
        <v>14049.66</v>
      </c>
      <c r="H22" s="40">
        <v>14263.78</v>
      </c>
      <c r="I22" s="57">
        <f t="shared" si="2"/>
        <v>214.1200000000008</v>
      </c>
      <c r="J22" s="126"/>
      <c r="K22" s="126"/>
      <c r="N22" s="234"/>
      <c r="O22" s="234"/>
      <c r="P22" s="234"/>
      <c r="Q22" s="234"/>
    </row>
    <row r="23" spans="2:17" ht="108.75" customHeight="1">
      <c r="B23" s="127" t="s">
        <v>150</v>
      </c>
      <c r="C23" s="51" t="s">
        <v>144</v>
      </c>
      <c r="D23" s="52" t="s">
        <v>145</v>
      </c>
      <c r="E23" s="41">
        <v>0.22</v>
      </c>
      <c r="F23" s="153">
        <v>0.21</v>
      </c>
      <c r="G23" s="55">
        <f t="shared" si="0"/>
        <v>1620.2172885339091</v>
      </c>
      <c r="H23" s="56">
        <f t="shared" ref="H23" si="3">($P$15/$P$16*E23)+($Q$15/$Q$16*F23)</f>
        <v>1619.0071592105055</v>
      </c>
      <c r="I23" s="57">
        <f t="shared" si="2"/>
        <v>-1.2101293234036348</v>
      </c>
      <c r="J23" s="126"/>
      <c r="K23" s="126"/>
      <c r="N23" s="234"/>
      <c r="O23" s="234"/>
      <c r="P23" s="234"/>
      <c r="Q23" s="234"/>
    </row>
    <row r="24" spans="2:17" ht="48">
      <c r="B24" s="62" t="s">
        <v>151</v>
      </c>
      <c r="C24" s="51" t="s">
        <v>144</v>
      </c>
      <c r="D24" s="52" t="s">
        <v>145</v>
      </c>
      <c r="E24" s="41">
        <v>4.29</v>
      </c>
      <c r="F24" s="153">
        <v>4.29</v>
      </c>
      <c r="G24" s="55">
        <v>32502.21</v>
      </c>
      <c r="H24" s="128">
        <v>0</v>
      </c>
      <c r="I24" s="57">
        <f t="shared" si="2"/>
        <v>-32502.21</v>
      </c>
      <c r="J24" s="126"/>
      <c r="K24" s="126"/>
      <c r="M24" s="6"/>
      <c r="N24" s="234"/>
      <c r="O24" s="234"/>
      <c r="P24" s="234"/>
      <c r="Q24" s="234"/>
    </row>
    <row r="25" spans="2:17" ht="63.75">
      <c r="B25" s="127" t="s">
        <v>152</v>
      </c>
      <c r="C25" s="59" t="s">
        <v>148</v>
      </c>
      <c r="D25" s="52" t="s">
        <v>145</v>
      </c>
      <c r="E25" s="41">
        <v>0.71</v>
      </c>
      <c r="F25" s="153">
        <v>1.44</v>
      </c>
      <c r="G25" s="55">
        <f t="shared" si="0"/>
        <v>8084.9634283078822</v>
      </c>
      <c r="H25" s="56">
        <f>($P$15/$P$16*E25)+($Q$15/$Q$16*F25)</f>
        <v>8072.2318037101568</v>
      </c>
      <c r="I25" s="57">
        <f t="shared" si="2"/>
        <v>-12.731624597725386</v>
      </c>
      <c r="J25" s="126"/>
      <c r="K25" s="126"/>
      <c r="L25" s="154"/>
      <c r="M25" s="6"/>
      <c r="N25" s="234"/>
      <c r="O25" s="234"/>
      <c r="P25" s="234"/>
      <c r="Q25" s="234"/>
    </row>
    <row r="26" spans="2:17" ht="63.75">
      <c r="B26" s="127" t="s">
        <v>126</v>
      </c>
      <c r="C26" s="59" t="s">
        <v>148</v>
      </c>
      <c r="D26" s="52" t="s">
        <v>145</v>
      </c>
      <c r="E26" s="41">
        <v>0.25</v>
      </c>
      <c r="F26" s="153">
        <v>0.83</v>
      </c>
      <c r="G26" s="55">
        <f t="shared" si="0"/>
        <v>4056.8748823019087</v>
      </c>
      <c r="H26" s="56">
        <f t="shared" ref="H26:H27" si="4">($P$15/$P$16*E26)+($Q$15/$Q$16*F26)</f>
        <v>4048.6524511372836</v>
      </c>
      <c r="I26" s="57">
        <f t="shared" si="2"/>
        <v>-8.2224311646250499</v>
      </c>
      <c r="J26" s="126"/>
      <c r="K26" s="126"/>
      <c r="L26" s="64"/>
      <c r="M26" s="6"/>
      <c r="N26" s="238"/>
      <c r="O26" s="238"/>
      <c r="P26" s="234"/>
      <c r="Q26" s="234"/>
    </row>
    <row r="27" spans="2:17">
      <c r="B27" s="62" t="s">
        <v>127</v>
      </c>
      <c r="C27" s="129" t="s">
        <v>148</v>
      </c>
      <c r="D27" s="52" t="s">
        <v>145</v>
      </c>
      <c r="E27" s="41">
        <v>0.41</v>
      </c>
      <c r="F27" s="153">
        <v>0.28999999999999998</v>
      </c>
      <c r="G27" s="55">
        <f t="shared" si="0"/>
        <v>2639.7069945737767</v>
      </c>
      <c r="H27" s="56">
        <f t="shared" si="4"/>
        <v>2638.6254233375239</v>
      </c>
      <c r="I27" s="57">
        <f t="shared" si="2"/>
        <v>-1.0815712362527847</v>
      </c>
      <c r="J27" s="126"/>
      <c r="K27" s="126"/>
      <c r="N27" s="234"/>
      <c r="O27" s="234"/>
      <c r="P27" s="234"/>
      <c r="Q27" s="234"/>
    </row>
    <row r="28" spans="2:17" ht="16.5" thickBot="1">
      <c r="B28" s="33" t="s">
        <v>128</v>
      </c>
      <c r="C28" s="130"/>
      <c r="D28" s="130"/>
      <c r="E28" s="34">
        <f>SUM(E16:E27)</f>
        <v>14.040000000000003</v>
      </c>
      <c r="F28" s="131">
        <f>SUM(F16:F27)</f>
        <v>15.16</v>
      </c>
      <c r="G28" s="132">
        <f>SUM(G16:G27)</f>
        <v>109371.29999999999</v>
      </c>
      <c r="H28" s="133">
        <f>SUM(H16:H27)</f>
        <v>77023.866399999999</v>
      </c>
      <c r="I28" s="134">
        <f>H28-G28</f>
        <v>-32347.433599999989</v>
      </c>
      <c r="J28" s="135"/>
      <c r="K28" s="135"/>
      <c r="N28" s="234"/>
      <c r="O28" s="234"/>
      <c r="P28" s="234"/>
      <c r="Q28" s="234"/>
    </row>
    <row r="29" spans="2:17">
      <c r="B29" s="6"/>
      <c r="C29" s="6"/>
      <c r="D29" s="6"/>
      <c r="E29" s="29"/>
      <c r="F29" s="29"/>
      <c r="G29" s="29"/>
      <c r="H29" s="29"/>
      <c r="I29" s="2"/>
      <c r="J29" s="2"/>
      <c r="K29" s="2"/>
      <c r="N29" s="234"/>
      <c r="O29" s="234"/>
      <c r="P29" s="234"/>
      <c r="Q29" s="234"/>
    </row>
    <row r="30" spans="2:17" ht="16.5" thickBot="1">
      <c r="B30" s="207" t="s">
        <v>153</v>
      </c>
      <c r="C30" s="207"/>
      <c r="D30" s="207"/>
      <c r="E30" s="207"/>
      <c r="F30" s="207"/>
      <c r="G30" s="207"/>
      <c r="H30" s="207"/>
      <c r="I30" s="207"/>
      <c r="J30" s="149"/>
      <c r="K30" s="149"/>
      <c r="N30" s="234"/>
      <c r="O30" s="234"/>
      <c r="P30" s="234"/>
      <c r="Q30" s="234"/>
    </row>
    <row r="31" spans="2:17" ht="44.25" customHeight="1">
      <c r="B31" s="20"/>
      <c r="C31" s="65"/>
      <c r="D31" s="208" t="s">
        <v>154</v>
      </c>
      <c r="E31" s="209"/>
      <c r="F31" s="210" t="s">
        <v>10</v>
      </c>
      <c r="G31" s="211"/>
      <c r="H31" s="210" t="s">
        <v>11</v>
      </c>
      <c r="I31" s="212"/>
      <c r="J31" s="154"/>
      <c r="K31" s="154"/>
      <c r="L31" s="24"/>
      <c r="M31" s="9"/>
      <c r="N31" s="238"/>
      <c r="O31" s="238"/>
      <c r="P31" s="238"/>
      <c r="Q31" s="238"/>
    </row>
    <row r="32" spans="2:17">
      <c r="B32" s="21" t="s">
        <v>12</v>
      </c>
      <c r="C32" s="67"/>
      <c r="D32" s="203">
        <f>F32+H32</f>
        <v>109371.29999999999</v>
      </c>
      <c r="E32" s="204"/>
      <c r="F32" s="203">
        <f>29585.35+33234.08+14049.66</f>
        <v>76869.09</v>
      </c>
      <c r="G32" s="204"/>
      <c r="H32" s="203">
        <f>G24</f>
        <v>32502.21</v>
      </c>
      <c r="I32" s="213"/>
      <c r="J32" s="155"/>
      <c r="K32" s="155"/>
      <c r="L32" s="10"/>
      <c r="M32" s="10"/>
      <c r="N32" s="234"/>
      <c r="O32" s="234"/>
      <c r="P32" s="234"/>
      <c r="Q32" s="234"/>
    </row>
    <row r="33" spans="2:17">
      <c r="B33" s="21" t="s">
        <v>13</v>
      </c>
      <c r="C33" s="67"/>
      <c r="D33" s="203">
        <f>F33+H33</f>
        <v>88458.010000000009</v>
      </c>
      <c r="E33" s="204"/>
      <c r="F33" s="203">
        <f>23898.08+26845.41+11460.29</f>
        <v>62203.780000000006</v>
      </c>
      <c r="G33" s="204"/>
      <c r="H33" s="203">
        <v>26254.23</v>
      </c>
      <c r="I33" s="213"/>
      <c r="J33" s="155"/>
      <c r="K33" s="155"/>
      <c r="L33" s="25"/>
      <c r="M33" s="10"/>
      <c r="N33" s="234"/>
      <c r="O33" s="234"/>
      <c r="P33" s="234"/>
      <c r="Q33" s="234"/>
    </row>
    <row r="34" spans="2:17" ht="16.5" thickBot="1">
      <c r="B34" s="22" t="s">
        <v>114</v>
      </c>
      <c r="C34" s="69"/>
      <c r="D34" s="205">
        <f>F34+H34</f>
        <v>77023.866399999999</v>
      </c>
      <c r="E34" s="206"/>
      <c r="F34" s="205">
        <f>H16+H17+H18+H19+H20+H21+H22+H23+H25+H26+H27</f>
        <v>77023.866399999999</v>
      </c>
      <c r="G34" s="206"/>
      <c r="H34" s="205">
        <f>H24</f>
        <v>0</v>
      </c>
      <c r="I34" s="214"/>
      <c r="J34" s="155"/>
      <c r="K34" s="155"/>
      <c r="L34" s="10"/>
      <c r="M34" s="10"/>
      <c r="N34" s="234"/>
      <c r="O34" s="234"/>
      <c r="P34" s="234"/>
      <c r="Q34" s="234"/>
    </row>
    <row r="35" spans="2:17" ht="27" thickBot="1">
      <c r="B35" s="23" t="s">
        <v>115</v>
      </c>
      <c r="C35" s="72"/>
      <c r="D35" s="184">
        <f>F35+H35</f>
        <v>11434.143600000007</v>
      </c>
      <c r="E35" s="185"/>
      <c r="F35" s="182">
        <f>F33-F34</f>
        <v>-14820.086399999993</v>
      </c>
      <c r="G35" s="183"/>
      <c r="H35" s="182">
        <f>H33-H34</f>
        <v>26254.23</v>
      </c>
      <c r="I35" s="202"/>
      <c r="J35" s="155"/>
      <c r="K35" s="155"/>
      <c r="L35" s="10"/>
      <c r="M35" s="10"/>
      <c r="N35" s="234"/>
      <c r="O35" s="234"/>
      <c r="P35" s="234"/>
      <c r="Q35" s="234"/>
    </row>
    <row r="36" spans="2:17" ht="34.5" customHeight="1">
      <c r="B36" s="147" t="s">
        <v>116</v>
      </c>
      <c r="C36" s="147"/>
      <c r="D36" s="136"/>
      <c r="E36" s="180" t="s">
        <v>117</v>
      </c>
      <c r="F36" s="180"/>
      <c r="G36" s="178" t="s">
        <v>14</v>
      </c>
      <c r="H36" s="178"/>
      <c r="I36" s="147"/>
      <c r="J36" s="147"/>
      <c r="K36" s="147"/>
      <c r="L36" s="8"/>
      <c r="M36" s="8"/>
      <c r="N36" s="237"/>
      <c r="O36" s="237"/>
      <c r="P36" s="237"/>
      <c r="Q36" s="237"/>
    </row>
    <row r="37" spans="2:17" ht="11.25" customHeight="1">
      <c r="B37" s="147"/>
      <c r="C37" s="147"/>
      <c r="D37" s="147"/>
      <c r="E37" s="179" t="s">
        <v>15</v>
      </c>
      <c r="F37" s="179"/>
      <c r="G37" s="181"/>
      <c r="H37" s="181"/>
      <c r="I37" s="148"/>
      <c r="J37" s="148"/>
      <c r="K37" s="148"/>
      <c r="L37" s="8"/>
      <c r="M37" s="8"/>
      <c r="N37" s="237"/>
      <c r="O37" s="237"/>
      <c r="P37" s="237"/>
      <c r="Q37" s="237"/>
    </row>
    <row r="38" spans="2:17">
      <c r="B38" s="147" t="s">
        <v>118</v>
      </c>
      <c r="C38" s="147"/>
      <c r="D38" s="147"/>
      <c r="E38" s="177" t="s">
        <v>117</v>
      </c>
      <c r="F38" s="177"/>
      <c r="G38" s="178" t="s">
        <v>131</v>
      </c>
      <c r="H38" s="178"/>
      <c r="I38" s="147"/>
      <c r="J38" s="147"/>
      <c r="K38" s="147"/>
      <c r="L38" s="8"/>
      <c r="M38" s="8"/>
      <c r="N38" s="237"/>
      <c r="O38" s="237"/>
      <c r="P38" s="237"/>
      <c r="Q38" s="237"/>
    </row>
    <row r="39" spans="2:17" ht="9.75" customHeight="1">
      <c r="B39" s="147"/>
      <c r="C39" s="147"/>
      <c r="D39" s="147"/>
      <c r="E39" s="179" t="s">
        <v>15</v>
      </c>
      <c r="F39" s="179"/>
      <c r="G39" s="178"/>
      <c r="H39" s="178"/>
      <c r="I39" s="147"/>
      <c r="J39" s="147"/>
      <c r="K39" s="147"/>
      <c r="N39" s="234"/>
      <c r="O39" s="234"/>
      <c r="P39" s="234"/>
      <c r="Q39" s="234"/>
    </row>
    <row r="40" spans="2:17">
      <c r="B40" s="147" t="s">
        <v>119</v>
      </c>
      <c r="C40" s="147"/>
      <c r="D40" s="147"/>
      <c r="E40" s="177" t="s">
        <v>117</v>
      </c>
      <c r="F40" s="177"/>
      <c r="G40" s="178" t="s">
        <v>157</v>
      </c>
      <c r="H40" s="178"/>
      <c r="I40" s="147"/>
      <c r="J40" s="147"/>
      <c r="K40" s="147"/>
      <c r="N40" s="234"/>
      <c r="O40" s="234"/>
      <c r="P40" s="234"/>
      <c r="Q40" s="234"/>
    </row>
    <row r="41" spans="2:17" ht="8.25" customHeight="1">
      <c r="B41" s="27"/>
      <c r="C41" s="27"/>
      <c r="D41" s="27"/>
      <c r="E41" s="179" t="s">
        <v>15</v>
      </c>
      <c r="F41" s="179"/>
      <c r="G41" s="151"/>
      <c r="H41" s="137"/>
      <c r="I41" s="152"/>
      <c r="J41" s="152"/>
      <c r="K41" s="152"/>
      <c r="N41" s="234"/>
      <c r="O41" s="234"/>
      <c r="P41" s="234"/>
      <c r="Q41" s="234"/>
    </row>
    <row r="42" spans="2:17">
      <c r="B42" s="147" t="s">
        <v>120</v>
      </c>
      <c r="C42" s="147"/>
      <c r="D42" s="147"/>
      <c r="E42" s="177" t="s">
        <v>117</v>
      </c>
      <c r="F42" s="177"/>
      <c r="G42" s="178" t="s">
        <v>93</v>
      </c>
      <c r="H42" s="178"/>
    </row>
    <row r="43" spans="2:17" ht="9" customHeight="1">
      <c r="B43" s="138"/>
      <c r="C43" s="138"/>
      <c r="D43" s="138"/>
      <c r="E43" s="179" t="s">
        <v>15</v>
      </c>
      <c r="F43" s="179"/>
      <c r="G43" s="179"/>
      <c r="H43" s="179"/>
    </row>
  </sheetData>
  <mergeCells count="42">
    <mergeCell ref="D5:F5"/>
    <mergeCell ref="D12:E12"/>
    <mergeCell ref="B2:I3"/>
    <mergeCell ref="B13:I13"/>
    <mergeCell ref="G14:H14"/>
    <mergeCell ref="I14:I15"/>
    <mergeCell ref="B30:I30"/>
    <mergeCell ref="D31:E31"/>
    <mergeCell ref="F31:G31"/>
    <mergeCell ref="H31:I31"/>
    <mergeCell ref="B14:B15"/>
    <mergeCell ref="C14:C15"/>
    <mergeCell ref="D14:D15"/>
    <mergeCell ref="E14:E15"/>
    <mergeCell ref="F14:F15"/>
    <mergeCell ref="D32:E32"/>
    <mergeCell ref="F32:G32"/>
    <mergeCell ref="H32:I32"/>
    <mergeCell ref="D33:E33"/>
    <mergeCell ref="F33:G33"/>
    <mergeCell ref="H33:I33"/>
    <mergeCell ref="H34:I34"/>
    <mergeCell ref="H35:I35"/>
    <mergeCell ref="E36:F36"/>
    <mergeCell ref="G36:H36"/>
    <mergeCell ref="E37:F37"/>
    <mergeCell ref="G37:H37"/>
    <mergeCell ref="D34:E34"/>
    <mergeCell ref="D35:E35"/>
    <mergeCell ref="F34:G34"/>
    <mergeCell ref="F35:G35"/>
    <mergeCell ref="E42:F42"/>
    <mergeCell ref="G42:H42"/>
    <mergeCell ref="E43:F43"/>
    <mergeCell ref="G43:H43"/>
    <mergeCell ref="G38:H38"/>
    <mergeCell ref="E39:F39"/>
    <mergeCell ref="G39:H39"/>
    <mergeCell ref="E40:F40"/>
    <mergeCell ref="G40:H40"/>
    <mergeCell ref="E38:F38"/>
    <mergeCell ref="E41:F41"/>
  </mergeCells>
  <printOptions horizontalCentered="1"/>
  <pageMargins left="0.19685039370078741" right="0.19685039370078741" top="0.15748031496062992" bottom="0.23622047244094491" header="0.16" footer="0.25"/>
  <pageSetup paperSize="9" scale="44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R43"/>
  <sheetViews>
    <sheetView zoomScale="110" zoomScaleNormal="110" workbookViewId="0">
      <selection activeCell="B1" sqref="B1:I1"/>
    </sheetView>
  </sheetViews>
  <sheetFormatPr defaultColWidth="9.140625" defaultRowHeight="15.75" outlineLevelRow="1"/>
  <cols>
    <col min="1" max="1" width="2.85546875" style="1" customWidth="1"/>
    <col min="2" max="2" width="51.42578125" style="1" customWidth="1"/>
    <col min="3" max="3" width="12.28515625" style="29" customWidth="1"/>
    <col min="4" max="4" width="8.42578125" style="2" customWidth="1"/>
    <col min="5" max="5" width="10.5703125" style="2" customWidth="1"/>
    <col min="6" max="6" width="10.28515625" style="2" customWidth="1"/>
    <col min="7" max="7" width="9" style="1" customWidth="1"/>
    <col min="8" max="8" width="10.28515625" style="1" customWidth="1"/>
    <col min="9" max="9" width="10.140625" style="1" customWidth="1"/>
    <col min="10" max="10" width="10.7109375" style="1" bestFit="1" customWidth="1"/>
    <col min="11" max="13" width="9.140625" style="1"/>
    <col min="14" max="14" width="13.28515625" style="232" customWidth="1"/>
    <col min="15" max="15" width="12.5703125" style="232" customWidth="1"/>
    <col min="16" max="16" width="13.7109375" style="232" customWidth="1"/>
    <col min="17" max="17" width="12.85546875" style="232" customWidth="1"/>
    <col min="18" max="18" width="9.140625" style="232"/>
    <col min="19" max="16384" width="9.140625" style="1"/>
  </cols>
  <sheetData>
    <row r="1" spans="2:17">
      <c r="B1" s="137"/>
      <c r="C1" s="137"/>
      <c r="D1" s="137"/>
      <c r="E1" s="137"/>
      <c r="F1" s="137"/>
      <c r="G1" s="137"/>
      <c r="H1" s="137"/>
      <c r="I1" s="137"/>
    </row>
    <row r="2" spans="2:17" ht="19.5" customHeight="1">
      <c r="B2" s="186" t="s">
        <v>161</v>
      </c>
      <c r="C2" s="186"/>
      <c r="D2" s="186"/>
      <c r="E2" s="186"/>
      <c r="F2" s="186"/>
      <c r="G2" s="186"/>
      <c r="H2" s="186"/>
      <c r="I2" s="186"/>
    </row>
    <row r="3" spans="2:17" ht="15" customHeight="1">
      <c r="B3" s="186"/>
      <c r="C3" s="186"/>
      <c r="D3" s="186"/>
      <c r="E3" s="186"/>
      <c r="F3" s="186"/>
      <c r="G3" s="186"/>
      <c r="H3" s="186"/>
      <c r="I3" s="186"/>
    </row>
    <row r="4" spans="2:17" ht="16.5" customHeight="1"/>
    <row r="5" spans="2:17">
      <c r="B5" s="1" t="s">
        <v>0</v>
      </c>
      <c r="D5" s="200" t="s">
        <v>43</v>
      </c>
      <c r="E5" s="200"/>
      <c r="F5" s="200"/>
    </row>
    <row r="6" spans="2:17">
      <c r="B6" s="1" t="s">
        <v>1</v>
      </c>
      <c r="D6" s="12">
        <v>1959</v>
      </c>
      <c r="E6" s="12"/>
      <c r="F6" s="12"/>
    </row>
    <row r="7" spans="2:17" ht="18.75" hidden="1" customHeight="1" outlineLevel="1">
      <c r="B7" s="1" t="s">
        <v>2</v>
      </c>
      <c r="D7" s="12">
        <v>2</v>
      </c>
      <c r="E7" s="12"/>
      <c r="F7" s="12"/>
    </row>
    <row r="8" spans="2:17" hidden="1" outlineLevel="1">
      <c r="B8" s="1" t="s">
        <v>3</v>
      </c>
      <c r="D8" s="12">
        <v>16</v>
      </c>
      <c r="E8" s="12"/>
      <c r="F8" s="12"/>
    </row>
    <row r="9" spans="2:17" ht="30.75" hidden="1" customHeight="1" outlineLevel="1">
      <c r="B9" s="4" t="s">
        <v>4</v>
      </c>
      <c r="C9" s="37"/>
      <c r="D9" s="12" t="s">
        <v>44</v>
      </c>
      <c r="E9" s="12"/>
      <c r="F9" s="12"/>
    </row>
    <row r="10" spans="2:17" collapsed="1">
      <c r="B10" s="1" t="s">
        <v>5</v>
      </c>
      <c r="D10" s="17" t="s">
        <v>105</v>
      </c>
      <c r="E10" s="12"/>
      <c r="F10" s="12"/>
      <c r="J10" s="6"/>
    </row>
    <row r="11" spans="2:17" ht="27" hidden="1" customHeight="1" outlineLevel="1">
      <c r="B11" s="1" t="s">
        <v>6</v>
      </c>
      <c r="D11" s="12" t="s">
        <v>7</v>
      </c>
      <c r="E11" s="12"/>
      <c r="F11" s="12"/>
    </row>
    <row r="12" spans="2:17" ht="30.75" hidden="1" customHeight="1" outlineLevel="1">
      <c r="B12" s="4" t="s">
        <v>8</v>
      </c>
      <c r="C12" s="37"/>
      <c r="D12" s="201" t="s">
        <v>45</v>
      </c>
      <c r="E12" s="201"/>
      <c r="F12" s="12"/>
      <c r="J12" s="6"/>
    </row>
    <row r="13" spans="2:17" ht="31.5" customHeight="1" collapsed="1" thickBot="1">
      <c r="B13" s="187" t="s">
        <v>132</v>
      </c>
      <c r="C13" s="187"/>
      <c r="D13" s="187"/>
      <c r="E13" s="187"/>
      <c r="F13" s="187"/>
      <c r="G13" s="187"/>
      <c r="H13" s="187"/>
      <c r="I13" s="187"/>
      <c r="J13" s="124"/>
      <c r="K13" s="124"/>
      <c r="M13" s="6"/>
      <c r="N13" s="233"/>
      <c r="O13" s="233"/>
      <c r="P13" s="233"/>
      <c r="Q13" s="233"/>
    </row>
    <row r="14" spans="2:17" ht="27.75" customHeight="1">
      <c r="B14" s="188" t="s">
        <v>137</v>
      </c>
      <c r="C14" s="190" t="s">
        <v>138</v>
      </c>
      <c r="D14" s="190" t="s">
        <v>139</v>
      </c>
      <c r="E14" s="192" t="s">
        <v>140</v>
      </c>
      <c r="F14" s="194" t="s">
        <v>141</v>
      </c>
      <c r="G14" s="196" t="s">
        <v>142</v>
      </c>
      <c r="H14" s="197"/>
      <c r="I14" s="198" t="s">
        <v>163</v>
      </c>
      <c r="J14" s="125"/>
      <c r="K14" s="125"/>
      <c r="M14" s="6"/>
      <c r="N14" s="233"/>
      <c r="O14" s="233"/>
      <c r="P14" s="233"/>
      <c r="Q14" s="233"/>
    </row>
    <row r="15" spans="2:17" ht="45" customHeight="1" thickBot="1">
      <c r="B15" s="189"/>
      <c r="C15" s="191"/>
      <c r="D15" s="191"/>
      <c r="E15" s="193"/>
      <c r="F15" s="195"/>
      <c r="G15" s="48" t="s">
        <v>121</v>
      </c>
      <c r="H15" s="49" t="s">
        <v>122</v>
      </c>
      <c r="I15" s="199"/>
      <c r="J15" s="125"/>
      <c r="K15" s="125"/>
      <c r="N15" s="234"/>
      <c r="O15" s="234"/>
      <c r="P15" s="234"/>
      <c r="Q15" s="234"/>
    </row>
    <row r="16" spans="2:17" ht="50.25" customHeight="1">
      <c r="B16" s="110" t="s">
        <v>143</v>
      </c>
      <c r="C16" s="51" t="s">
        <v>144</v>
      </c>
      <c r="D16" s="52" t="s">
        <v>145</v>
      </c>
      <c r="E16" s="53">
        <v>0</v>
      </c>
      <c r="F16" s="54">
        <v>0</v>
      </c>
      <c r="G16" s="55" t="e">
        <f>($N$15/$N$16*E16)+($O$15/$O$16*F16)</f>
        <v>#DIV/0!</v>
      </c>
      <c r="H16" s="56" t="e">
        <f>($P$15/$P$16*E16)+($Q$15/$Q$16*F16)</f>
        <v>#DIV/0!</v>
      </c>
      <c r="I16" s="57" t="e">
        <f>H16-G16</f>
        <v>#DIV/0!</v>
      </c>
      <c r="J16" s="126"/>
      <c r="K16" s="126"/>
      <c r="L16" s="7"/>
      <c r="M16" s="58"/>
      <c r="N16" s="235"/>
      <c r="O16" s="234"/>
      <c r="P16" s="235"/>
      <c r="Q16" s="234"/>
    </row>
    <row r="17" spans="2:17" ht="51">
      <c r="B17" s="127" t="s">
        <v>129</v>
      </c>
      <c r="C17" s="51" t="s">
        <v>144</v>
      </c>
      <c r="D17" s="52" t="s">
        <v>145</v>
      </c>
      <c r="E17" s="41">
        <v>1.1299999999999999</v>
      </c>
      <c r="F17" s="153">
        <v>1.17</v>
      </c>
      <c r="G17" s="55" t="e">
        <f t="shared" ref="G17:G27" si="0">($N$15/$N$16*E17)+($O$15/$O$16*F17)</f>
        <v>#DIV/0!</v>
      </c>
      <c r="H17" s="56" t="e">
        <f t="shared" ref="H17:H21" si="1">($P$15/$P$16*E17)+($Q$15/$Q$16*F17)</f>
        <v>#DIV/0!</v>
      </c>
      <c r="I17" s="57" t="e">
        <f t="shared" ref="I17:I27" si="2">H17-G17</f>
        <v>#DIV/0!</v>
      </c>
      <c r="J17" s="126"/>
      <c r="K17" s="126"/>
      <c r="L17" s="8"/>
      <c r="M17" s="8"/>
      <c r="N17" s="236"/>
      <c r="O17" s="237"/>
      <c r="P17" s="237"/>
      <c r="Q17" s="237"/>
    </row>
    <row r="18" spans="2:17" ht="52.5" customHeight="1">
      <c r="B18" s="62" t="s">
        <v>123</v>
      </c>
      <c r="C18" s="51" t="s">
        <v>144</v>
      </c>
      <c r="D18" s="52" t="s">
        <v>145</v>
      </c>
      <c r="E18" s="41">
        <v>0.28000000000000003</v>
      </c>
      <c r="F18" s="153">
        <v>0.27</v>
      </c>
      <c r="G18" s="55" t="e">
        <f t="shared" si="0"/>
        <v>#DIV/0!</v>
      </c>
      <c r="H18" s="56" t="e">
        <f t="shared" si="1"/>
        <v>#DIV/0!</v>
      </c>
      <c r="I18" s="57" t="e">
        <f t="shared" si="2"/>
        <v>#DIV/0!</v>
      </c>
      <c r="J18" s="126"/>
      <c r="K18" s="126"/>
      <c r="M18" s="6"/>
      <c r="N18" s="234"/>
      <c r="O18" s="234"/>
      <c r="P18" s="234"/>
      <c r="Q18" s="234"/>
    </row>
    <row r="19" spans="2:17" ht="25.5">
      <c r="B19" s="62" t="s">
        <v>146</v>
      </c>
      <c r="C19" s="59" t="s">
        <v>147</v>
      </c>
      <c r="D19" s="52" t="s">
        <v>145</v>
      </c>
      <c r="E19" s="41">
        <v>0</v>
      </c>
      <c r="F19" s="153">
        <v>0</v>
      </c>
      <c r="G19" s="55" t="e">
        <f t="shared" si="0"/>
        <v>#DIV/0!</v>
      </c>
      <c r="H19" s="56" t="e">
        <f t="shared" si="1"/>
        <v>#DIV/0!</v>
      </c>
      <c r="I19" s="57" t="e">
        <f t="shared" si="2"/>
        <v>#DIV/0!</v>
      </c>
      <c r="J19" s="126"/>
      <c r="K19" s="126"/>
      <c r="M19" s="6"/>
      <c r="N19" s="234"/>
      <c r="O19" s="234"/>
      <c r="P19" s="234"/>
      <c r="Q19" s="234"/>
    </row>
    <row r="20" spans="2:17" ht="51">
      <c r="B20" s="127" t="s">
        <v>124</v>
      </c>
      <c r="C20" s="51" t="s">
        <v>144</v>
      </c>
      <c r="D20" s="52" t="s">
        <v>145</v>
      </c>
      <c r="E20" s="41">
        <v>1.1399999999999999</v>
      </c>
      <c r="F20" s="153">
        <v>1.33</v>
      </c>
      <c r="G20" s="55" t="e">
        <f t="shared" si="0"/>
        <v>#DIV/0!</v>
      </c>
      <c r="H20" s="56" t="e">
        <f t="shared" si="1"/>
        <v>#DIV/0!</v>
      </c>
      <c r="I20" s="57" t="e">
        <f t="shared" si="2"/>
        <v>#DIV/0!</v>
      </c>
      <c r="J20" s="126"/>
      <c r="K20" s="126"/>
      <c r="N20" s="234"/>
      <c r="O20" s="234"/>
      <c r="P20" s="234"/>
      <c r="Q20" s="234"/>
    </row>
    <row r="21" spans="2:17" ht="145.5" customHeight="1">
      <c r="B21" s="127" t="s">
        <v>125</v>
      </c>
      <c r="C21" s="51" t="s">
        <v>148</v>
      </c>
      <c r="D21" s="52" t="s">
        <v>145</v>
      </c>
      <c r="E21" s="41">
        <v>3.67</v>
      </c>
      <c r="F21" s="153">
        <v>3.33</v>
      </c>
      <c r="G21" s="55" t="e">
        <f t="shared" si="0"/>
        <v>#DIV/0!</v>
      </c>
      <c r="H21" s="56" t="e">
        <f t="shared" si="1"/>
        <v>#DIV/0!</v>
      </c>
      <c r="I21" s="57" t="e">
        <f t="shared" si="2"/>
        <v>#DIV/0!</v>
      </c>
      <c r="J21" s="126"/>
      <c r="K21" s="126"/>
      <c r="L21" s="8"/>
      <c r="M21" s="60"/>
      <c r="N21" s="237"/>
      <c r="O21" s="237"/>
      <c r="P21" s="237"/>
      <c r="Q21" s="237"/>
    </row>
    <row r="22" spans="2:17" ht="27.75" customHeight="1">
      <c r="B22" s="62" t="s">
        <v>149</v>
      </c>
      <c r="C22" s="51" t="s">
        <v>147</v>
      </c>
      <c r="D22" s="52" t="s">
        <v>145</v>
      </c>
      <c r="E22" s="41">
        <v>1.94</v>
      </c>
      <c r="F22" s="153">
        <v>2</v>
      </c>
      <c r="G22" s="55">
        <v>11718.78</v>
      </c>
      <c r="H22" s="40">
        <v>11897.43</v>
      </c>
      <c r="I22" s="57">
        <f t="shared" si="2"/>
        <v>178.64999999999964</v>
      </c>
      <c r="J22" s="126"/>
      <c r="K22" s="126"/>
      <c r="N22" s="234"/>
      <c r="O22" s="234"/>
      <c r="P22" s="234"/>
      <c r="Q22" s="234"/>
    </row>
    <row r="23" spans="2:17" ht="108.75" customHeight="1">
      <c r="B23" s="127" t="s">
        <v>150</v>
      </c>
      <c r="C23" s="51" t="s">
        <v>144</v>
      </c>
      <c r="D23" s="52" t="s">
        <v>145</v>
      </c>
      <c r="E23" s="41">
        <v>0.22</v>
      </c>
      <c r="F23" s="153">
        <v>0.21</v>
      </c>
      <c r="G23" s="55" t="e">
        <f t="shared" si="0"/>
        <v>#DIV/0!</v>
      </c>
      <c r="H23" s="56" t="e">
        <f t="shared" ref="H23" si="3">($P$15/$P$16*E23)+($Q$15/$Q$16*F23)</f>
        <v>#DIV/0!</v>
      </c>
      <c r="I23" s="57" t="e">
        <f t="shared" si="2"/>
        <v>#DIV/0!</v>
      </c>
      <c r="J23" s="126"/>
      <c r="K23" s="126"/>
      <c r="N23" s="234"/>
      <c r="O23" s="234"/>
      <c r="P23" s="234"/>
      <c r="Q23" s="234"/>
    </row>
    <row r="24" spans="2:17" ht="48">
      <c r="B24" s="62" t="s">
        <v>151</v>
      </c>
      <c r="C24" s="51" t="s">
        <v>144</v>
      </c>
      <c r="D24" s="52" t="s">
        <v>145</v>
      </c>
      <c r="E24" s="41">
        <v>2.36</v>
      </c>
      <c r="F24" s="153">
        <v>3</v>
      </c>
      <c r="G24" s="55">
        <v>16882.77</v>
      </c>
      <c r="H24" s="128">
        <v>4016</v>
      </c>
      <c r="I24" s="57">
        <f t="shared" si="2"/>
        <v>-12866.77</v>
      </c>
      <c r="J24" s="126"/>
      <c r="K24" s="126"/>
      <c r="M24" s="6"/>
      <c r="N24" s="234"/>
      <c r="O24" s="234"/>
      <c r="P24" s="234"/>
      <c r="Q24" s="234"/>
    </row>
    <row r="25" spans="2:17" ht="63.75">
      <c r="B25" s="127" t="s">
        <v>152</v>
      </c>
      <c r="C25" s="59" t="s">
        <v>148</v>
      </c>
      <c r="D25" s="52" t="s">
        <v>145</v>
      </c>
      <c r="E25" s="41">
        <v>0.71</v>
      </c>
      <c r="F25" s="153">
        <v>1.44</v>
      </c>
      <c r="G25" s="55" t="e">
        <f t="shared" si="0"/>
        <v>#DIV/0!</v>
      </c>
      <c r="H25" s="56" t="e">
        <f>($P$15/$P$16*E25)+($Q$15/$Q$16*F25)</f>
        <v>#DIV/0!</v>
      </c>
      <c r="I25" s="57" t="e">
        <f t="shared" si="2"/>
        <v>#DIV/0!</v>
      </c>
      <c r="J25" s="126"/>
      <c r="K25" s="126"/>
      <c r="L25" s="154"/>
      <c r="M25" s="6"/>
      <c r="N25" s="234"/>
      <c r="O25" s="234"/>
      <c r="P25" s="234"/>
      <c r="Q25" s="234"/>
    </row>
    <row r="26" spans="2:17" ht="63.75">
      <c r="B26" s="127" t="s">
        <v>126</v>
      </c>
      <c r="C26" s="59" t="s">
        <v>148</v>
      </c>
      <c r="D26" s="52" t="s">
        <v>145</v>
      </c>
      <c r="E26" s="41">
        <v>0.25</v>
      </c>
      <c r="F26" s="153">
        <v>0.83</v>
      </c>
      <c r="G26" s="55" t="e">
        <f t="shared" si="0"/>
        <v>#DIV/0!</v>
      </c>
      <c r="H26" s="56" t="e">
        <f t="shared" ref="H26:H27" si="4">($P$15/$P$16*E26)+($Q$15/$Q$16*F26)</f>
        <v>#DIV/0!</v>
      </c>
      <c r="I26" s="57" t="e">
        <f t="shared" si="2"/>
        <v>#DIV/0!</v>
      </c>
      <c r="J26" s="126"/>
      <c r="K26" s="126"/>
      <c r="L26" s="64"/>
      <c r="M26" s="6"/>
      <c r="N26" s="238"/>
      <c r="O26" s="238"/>
      <c r="P26" s="234"/>
      <c r="Q26" s="234"/>
    </row>
    <row r="27" spans="2:17">
      <c r="B27" s="62" t="s">
        <v>127</v>
      </c>
      <c r="C27" s="129" t="s">
        <v>148</v>
      </c>
      <c r="D27" s="52" t="s">
        <v>145</v>
      </c>
      <c r="E27" s="41">
        <v>0.47</v>
      </c>
      <c r="F27" s="153">
        <v>0.45</v>
      </c>
      <c r="G27" s="55" t="e">
        <f t="shared" si="0"/>
        <v>#DIV/0!</v>
      </c>
      <c r="H27" s="56" t="e">
        <f t="shared" si="4"/>
        <v>#DIV/0!</v>
      </c>
      <c r="I27" s="57" t="e">
        <f t="shared" si="2"/>
        <v>#DIV/0!</v>
      </c>
      <c r="J27" s="126"/>
      <c r="K27" s="126"/>
      <c r="N27" s="234"/>
      <c r="O27" s="234"/>
      <c r="P27" s="234"/>
      <c r="Q27" s="234"/>
    </row>
    <row r="28" spans="2:17" ht="16.5" thickBot="1">
      <c r="B28" s="33" t="s">
        <v>128</v>
      </c>
      <c r="C28" s="130"/>
      <c r="D28" s="130"/>
      <c r="E28" s="34">
        <f>SUM(E16:E27)</f>
        <v>12.17</v>
      </c>
      <c r="F28" s="131">
        <f>SUM(F16:F27)</f>
        <v>14.03</v>
      </c>
      <c r="G28" s="132" t="e">
        <f>SUM(G16:G27)</f>
        <v>#DIV/0!</v>
      </c>
      <c r="H28" s="133" t="e">
        <f>SUM(H16:H27)</f>
        <v>#DIV/0!</v>
      </c>
      <c r="I28" s="134" t="e">
        <f>H28-G28</f>
        <v>#DIV/0!</v>
      </c>
      <c r="J28" s="135"/>
      <c r="K28" s="135"/>
      <c r="N28" s="234"/>
      <c r="O28" s="234"/>
      <c r="P28" s="234"/>
      <c r="Q28" s="234"/>
    </row>
    <row r="29" spans="2:17">
      <c r="B29" s="6"/>
      <c r="C29" s="6"/>
      <c r="D29" s="6"/>
      <c r="E29" s="29"/>
      <c r="F29" s="29"/>
      <c r="G29" s="29"/>
      <c r="H29" s="29"/>
      <c r="I29" s="2"/>
      <c r="J29" s="2"/>
      <c r="K29" s="2"/>
      <c r="N29" s="234"/>
      <c r="O29" s="234"/>
      <c r="P29" s="234"/>
      <c r="Q29" s="234"/>
    </row>
    <row r="30" spans="2:17" ht="16.5" thickBot="1">
      <c r="B30" s="207" t="s">
        <v>153</v>
      </c>
      <c r="C30" s="207"/>
      <c r="D30" s="207"/>
      <c r="E30" s="207"/>
      <c r="F30" s="207"/>
      <c r="G30" s="207"/>
      <c r="H30" s="207"/>
      <c r="I30" s="207"/>
      <c r="J30" s="149"/>
      <c r="K30" s="149"/>
      <c r="N30" s="234"/>
      <c r="O30" s="234"/>
      <c r="P30" s="234"/>
      <c r="Q30" s="234"/>
    </row>
    <row r="31" spans="2:17" ht="44.25" customHeight="1">
      <c r="B31" s="20"/>
      <c r="C31" s="65"/>
      <c r="D31" s="208" t="s">
        <v>154</v>
      </c>
      <c r="E31" s="209"/>
      <c r="F31" s="210" t="s">
        <v>10</v>
      </c>
      <c r="G31" s="211"/>
      <c r="H31" s="210" t="s">
        <v>11</v>
      </c>
      <c r="I31" s="212"/>
      <c r="J31" s="154"/>
      <c r="K31" s="154"/>
      <c r="L31" s="24"/>
      <c r="M31" s="9"/>
      <c r="N31" s="238"/>
      <c r="O31" s="238"/>
      <c r="P31" s="238"/>
      <c r="Q31" s="238"/>
    </row>
    <row r="32" spans="2:17">
      <c r="B32" s="21" t="s">
        <v>12</v>
      </c>
      <c r="C32" s="67"/>
      <c r="D32" s="203">
        <f>F32+H32</f>
        <v>81508.240000000005</v>
      </c>
      <c r="E32" s="204"/>
      <c r="F32" s="203">
        <f>24788.69+28118+11718.78</f>
        <v>64625.47</v>
      </c>
      <c r="G32" s="204"/>
      <c r="H32" s="203">
        <f>G24</f>
        <v>16882.77</v>
      </c>
      <c r="I32" s="213"/>
      <c r="J32" s="155"/>
      <c r="K32" s="155"/>
      <c r="L32" s="10"/>
      <c r="M32" s="10"/>
      <c r="N32" s="234"/>
      <c r="O32" s="234"/>
      <c r="P32" s="234"/>
      <c r="Q32" s="234"/>
    </row>
    <row r="33" spans="2:17">
      <c r="B33" s="21" t="s">
        <v>13</v>
      </c>
      <c r="C33" s="67"/>
      <c r="D33" s="203">
        <f>F33+H33</f>
        <v>63853.54</v>
      </c>
      <c r="E33" s="204"/>
      <c r="F33" s="203">
        <f>19344.65+21942.79+9391.09</f>
        <v>50678.53</v>
      </c>
      <c r="G33" s="204"/>
      <c r="H33" s="203">
        <v>13175.01</v>
      </c>
      <c r="I33" s="213"/>
      <c r="J33" s="155"/>
      <c r="K33" s="155"/>
      <c r="L33" s="25"/>
      <c r="M33" s="10"/>
      <c r="N33" s="234"/>
      <c r="O33" s="234"/>
      <c r="P33" s="234"/>
      <c r="Q33" s="234"/>
    </row>
    <row r="34" spans="2:17" ht="16.5" thickBot="1">
      <c r="B34" s="22" t="s">
        <v>114</v>
      </c>
      <c r="C34" s="69"/>
      <c r="D34" s="205" t="e">
        <f>F34+H34</f>
        <v>#DIV/0!</v>
      </c>
      <c r="E34" s="206"/>
      <c r="F34" s="205" t="e">
        <f>H16+H17+H18+H19+H20+H21+H22+H23+H25+H26+H27</f>
        <v>#DIV/0!</v>
      </c>
      <c r="G34" s="206"/>
      <c r="H34" s="205">
        <f>H24</f>
        <v>4016</v>
      </c>
      <c r="I34" s="214"/>
      <c r="J34" s="155"/>
      <c r="K34" s="155"/>
      <c r="L34" s="10"/>
      <c r="M34" s="10"/>
      <c r="N34" s="234"/>
      <c r="O34" s="234"/>
      <c r="P34" s="234"/>
      <c r="Q34" s="234"/>
    </row>
    <row r="35" spans="2:17" ht="27" thickBot="1">
      <c r="B35" s="23" t="s">
        <v>115</v>
      </c>
      <c r="C35" s="72"/>
      <c r="D35" s="184" t="e">
        <f>F35+H35</f>
        <v>#DIV/0!</v>
      </c>
      <c r="E35" s="185"/>
      <c r="F35" s="182" t="e">
        <f>F33-F34</f>
        <v>#DIV/0!</v>
      </c>
      <c r="G35" s="183"/>
      <c r="H35" s="182">
        <f>H33-H34</f>
        <v>9159.01</v>
      </c>
      <c r="I35" s="202"/>
      <c r="J35" s="155"/>
      <c r="K35" s="155"/>
      <c r="L35" s="10"/>
      <c r="M35" s="10"/>
      <c r="N35" s="234"/>
      <c r="O35" s="234"/>
      <c r="P35" s="234"/>
      <c r="Q35" s="234"/>
    </row>
    <row r="36" spans="2:17" ht="34.5" customHeight="1">
      <c r="B36" s="147" t="s">
        <v>116</v>
      </c>
      <c r="C36" s="147"/>
      <c r="D36" s="136"/>
      <c r="E36" s="180" t="s">
        <v>117</v>
      </c>
      <c r="F36" s="180"/>
      <c r="G36" s="178" t="s">
        <v>14</v>
      </c>
      <c r="H36" s="178"/>
      <c r="I36" s="147"/>
      <c r="J36" s="147"/>
      <c r="K36" s="147"/>
      <c r="L36" s="8"/>
      <c r="M36" s="8"/>
      <c r="N36" s="237"/>
      <c r="O36" s="237"/>
      <c r="P36" s="237"/>
      <c r="Q36" s="237"/>
    </row>
    <row r="37" spans="2:17" ht="11.25" customHeight="1">
      <c r="B37" s="147"/>
      <c r="C37" s="147"/>
      <c r="D37" s="147"/>
      <c r="E37" s="179" t="s">
        <v>15</v>
      </c>
      <c r="F37" s="179"/>
      <c r="G37" s="181"/>
      <c r="H37" s="181"/>
      <c r="I37" s="148"/>
      <c r="J37" s="148"/>
      <c r="K37" s="148"/>
      <c r="L37" s="8"/>
      <c r="M37" s="8"/>
      <c r="N37" s="237"/>
      <c r="O37" s="237"/>
      <c r="P37" s="237"/>
      <c r="Q37" s="237"/>
    </row>
    <row r="38" spans="2:17">
      <c r="B38" s="147" t="s">
        <v>118</v>
      </c>
      <c r="C38" s="147"/>
      <c r="D38" s="147"/>
      <c r="E38" s="177" t="s">
        <v>117</v>
      </c>
      <c r="F38" s="177"/>
      <c r="G38" s="178" t="s">
        <v>131</v>
      </c>
      <c r="H38" s="178"/>
      <c r="I38" s="147"/>
      <c r="J38" s="147"/>
      <c r="K38" s="147"/>
      <c r="L38" s="8"/>
      <c r="M38" s="8"/>
      <c r="N38" s="237"/>
      <c r="O38" s="237"/>
      <c r="P38" s="237"/>
      <c r="Q38" s="237"/>
    </row>
    <row r="39" spans="2:17" ht="9.75" customHeight="1">
      <c r="B39" s="147"/>
      <c r="C39" s="147"/>
      <c r="D39" s="147"/>
      <c r="E39" s="179" t="s">
        <v>15</v>
      </c>
      <c r="F39" s="179"/>
      <c r="G39" s="178"/>
      <c r="H39" s="178"/>
      <c r="I39" s="147"/>
      <c r="J39" s="147"/>
      <c r="K39" s="147"/>
      <c r="N39" s="234"/>
      <c r="O39" s="234"/>
      <c r="P39" s="234"/>
      <c r="Q39" s="234"/>
    </row>
    <row r="40" spans="2:17">
      <c r="B40" s="147" t="s">
        <v>119</v>
      </c>
      <c r="C40" s="147"/>
      <c r="D40" s="147"/>
      <c r="E40" s="177" t="s">
        <v>117</v>
      </c>
      <c r="F40" s="177"/>
      <c r="G40" s="178" t="s">
        <v>157</v>
      </c>
      <c r="H40" s="178"/>
      <c r="I40" s="147"/>
      <c r="J40" s="147"/>
      <c r="K40" s="147"/>
      <c r="N40" s="234"/>
      <c r="O40" s="234"/>
      <c r="P40" s="234"/>
      <c r="Q40" s="234"/>
    </row>
    <row r="41" spans="2:17" ht="8.25" customHeight="1">
      <c r="B41" s="27"/>
      <c r="C41" s="27"/>
      <c r="D41" s="27"/>
      <c r="E41" s="179" t="s">
        <v>15</v>
      </c>
      <c r="F41" s="179"/>
      <c r="G41" s="151"/>
      <c r="H41" s="137"/>
      <c r="I41" s="152"/>
      <c r="J41" s="152"/>
      <c r="K41" s="152"/>
      <c r="N41" s="234"/>
      <c r="O41" s="234"/>
      <c r="P41" s="234"/>
      <c r="Q41" s="234"/>
    </row>
    <row r="42" spans="2:17">
      <c r="B42" s="147" t="s">
        <v>120</v>
      </c>
      <c r="C42" s="147"/>
      <c r="D42" s="147"/>
      <c r="E42" s="177" t="s">
        <v>117</v>
      </c>
      <c r="F42" s="177"/>
      <c r="G42" s="178" t="s">
        <v>93</v>
      </c>
      <c r="H42" s="178"/>
    </row>
    <row r="43" spans="2:17" ht="9" customHeight="1">
      <c r="B43" s="138"/>
      <c r="C43" s="138"/>
      <c r="D43" s="138"/>
      <c r="E43" s="179" t="s">
        <v>15</v>
      </c>
      <c r="F43" s="179"/>
      <c r="G43" s="179"/>
      <c r="H43" s="179"/>
    </row>
  </sheetData>
  <mergeCells count="42">
    <mergeCell ref="B30:I30"/>
    <mergeCell ref="D31:E31"/>
    <mergeCell ref="F31:G31"/>
    <mergeCell ref="H31:I31"/>
    <mergeCell ref="D32:E32"/>
    <mergeCell ref="F32:G32"/>
    <mergeCell ref="H32:I32"/>
    <mergeCell ref="B2:I3"/>
    <mergeCell ref="B13:I13"/>
    <mergeCell ref="B14:B15"/>
    <mergeCell ref="C14:C15"/>
    <mergeCell ref="D14:D15"/>
    <mergeCell ref="E14:E15"/>
    <mergeCell ref="F14:F15"/>
    <mergeCell ref="G14:H14"/>
    <mergeCell ref="I14:I15"/>
    <mergeCell ref="D5:F5"/>
    <mergeCell ref="D12:E12"/>
    <mergeCell ref="D33:E33"/>
    <mergeCell ref="F33:G33"/>
    <mergeCell ref="H33:I33"/>
    <mergeCell ref="D34:E34"/>
    <mergeCell ref="F34:G34"/>
    <mergeCell ref="H34:I34"/>
    <mergeCell ref="D35:E35"/>
    <mergeCell ref="F35:G35"/>
    <mergeCell ref="H35:I35"/>
    <mergeCell ref="E36:F36"/>
    <mergeCell ref="G36:H36"/>
    <mergeCell ref="G37:H37"/>
    <mergeCell ref="E38:F38"/>
    <mergeCell ref="G38:H38"/>
    <mergeCell ref="E39:F39"/>
    <mergeCell ref="G39:H39"/>
    <mergeCell ref="E37:F37"/>
    <mergeCell ref="G40:H40"/>
    <mergeCell ref="E41:F41"/>
    <mergeCell ref="E42:F42"/>
    <mergeCell ref="G42:H42"/>
    <mergeCell ref="E43:F43"/>
    <mergeCell ref="G43:H43"/>
    <mergeCell ref="E40:F40"/>
  </mergeCells>
  <printOptions horizontalCentered="1"/>
  <pageMargins left="0.19685039370078741" right="0.19685039370078741" top="0.37" bottom="0.23622047244094491" header="0.59" footer="0.25"/>
  <pageSetup paperSize="9" scale="44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B1:T43"/>
  <sheetViews>
    <sheetView zoomScale="110" zoomScaleNormal="110" workbookViewId="0">
      <selection activeCell="B1" sqref="B1:I1"/>
    </sheetView>
  </sheetViews>
  <sheetFormatPr defaultColWidth="9.140625" defaultRowHeight="15.75" outlineLevelRow="1"/>
  <cols>
    <col min="1" max="1" width="2.85546875" style="1" customWidth="1"/>
    <col min="2" max="2" width="52" style="1" customWidth="1"/>
    <col min="3" max="3" width="12.7109375" style="35" customWidth="1"/>
    <col min="4" max="4" width="8.5703125" style="2" customWidth="1"/>
    <col min="5" max="5" width="10.5703125" style="2" customWidth="1"/>
    <col min="6" max="6" width="10.28515625" style="2" customWidth="1"/>
    <col min="7" max="7" width="10.42578125" style="1" customWidth="1"/>
    <col min="8" max="8" width="10.28515625" style="1" customWidth="1"/>
    <col min="9" max="9" width="11.5703125" style="1" customWidth="1"/>
    <col min="10" max="10" width="10.7109375" style="1" bestFit="1" customWidth="1"/>
    <col min="11" max="13" width="9.140625" style="1"/>
    <col min="14" max="15" width="13.42578125" style="232" customWidth="1"/>
    <col min="16" max="16" width="13.85546875" style="232" customWidth="1"/>
    <col min="17" max="17" width="13.140625" style="232" customWidth="1"/>
    <col min="18" max="20" width="9.140625" style="232"/>
    <col min="21" max="16384" width="9.140625" style="1"/>
  </cols>
  <sheetData>
    <row r="1" spans="2:18">
      <c r="B1" s="137"/>
      <c r="C1" s="137"/>
      <c r="D1" s="137"/>
      <c r="E1" s="137"/>
      <c r="F1" s="137"/>
      <c r="G1" s="137"/>
      <c r="H1" s="137"/>
      <c r="I1" s="137"/>
    </row>
    <row r="2" spans="2:18" ht="19.5" customHeight="1">
      <c r="B2" s="186" t="s">
        <v>161</v>
      </c>
      <c r="C2" s="186"/>
      <c r="D2" s="186"/>
      <c r="E2" s="186"/>
      <c r="F2" s="186"/>
      <c r="G2" s="186"/>
      <c r="H2" s="186"/>
      <c r="I2" s="186"/>
    </row>
    <row r="3" spans="2:18" ht="20.25" customHeight="1">
      <c r="B3" s="186"/>
      <c r="C3" s="186"/>
      <c r="D3" s="186"/>
      <c r="E3" s="186"/>
      <c r="F3" s="186"/>
      <c r="G3" s="186"/>
      <c r="H3" s="186"/>
      <c r="I3" s="186"/>
    </row>
    <row r="4" spans="2:18" ht="17.25" customHeight="1"/>
    <row r="5" spans="2:18">
      <c r="B5" s="1" t="s">
        <v>0</v>
      </c>
      <c r="D5" s="200" t="s">
        <v>46</v>
      </c>
      <c r="E5" s="200"/>
      <c r="F5" s="200"/>
    </row>
    <row r="6" spans="2:18">
      <c r="B6" s="1" t="s">
        <v>1</v>
      </c>
      <c r="D6" s="12">
        <v>1960</v>
      </c>
      <c r="E6" s="12"/>
      <c r="F6" s="12"/>
    </row>
    <row r="7" spans="2:18" hidden="1" outlineLevel="1">
      <c r="B7" s="1" t="s">
        <v>2</v>
      </c>
      <c r="D7" s="12">
        <v>2</v>
      </c>
      <c r="E7" s="12"/>
      <c r="F7" s="12"/>
    </row>
    <row r="8" spans="2:18" hidden="1" outlineLevel="1">
      <c r="B8" s="1" t="s">
        <v>3</v>
      </c>
      <c r="D8" s="12">
        <v>16</v>
      </c>
      <c r="E8" s="12"/>
      <c r="F8" s="12"/>
    </row>
    <row r="9" spans="2:18" ht="30.75" hidden="1" customHeight="1" outlineLevel="1">
      <c r="B9" s="4" t="s">
        <v>4</v>
      </c>
      <c r="C9" s="36"/>
      <c r="D9" s="12" t="s">
        <v>47</v>
      </c>
      <c r="E9" s="12"/>
      <c r="F9" s="12"/>
    </row>
    <row r="10" spans="2:18" collapsed="1">
      <c r="B10" s="1" t="s">
        <v>5</v>
      </c>
      <c r="D10" s="17" t="s">
        <v>106</v>
      </c>
      <c r="E10" s="12"/>
      <c r="F10" s="12"/>
      <c r="J10" s="6"/>
    </row>
    <row r="11" spans="2:18" hidden="1" outlineLevel="1">
      <c r="B11" s="1" t="s">
        <v>6</v>
      </c>
      <c r="D11" s="12" t="s">
        <v>7</v>
      </c>
      <c r="E11" s="12"/>
      <c r="F11" s="12"/>
    </row>
    <row r="12" spans="2:18" ht="30.75" hidden="1" customHeight="1" outlineLevel="1">
      <c r="B12" s="4" t="s">
        <v>8</v>
      </c>
      <c r="C12" s="36"/>
      <c r="D12" s="201" t="s">
        <v>48</v>
      </c>
      <c r="E12" s="201"/>
      <c r="F12" s="12"/>
      <c r="J12" s="6"/>
    </row>
    <row r="13" spans="2:18" ht="31.5" customHeight="1" collapsed="1" thickBot="1">
      <c r="B13" s="187" t="s">
        <v>132</v>
      </c>
      <c r="C13" s="187"/>
      <c r="D13" s="187"/>
      <c r="E13" s="187"/>
      <c r="F13" s="187"/>
      <c r="G13" s="187"/>
      <c r="H13" s="187"/>
      <c r="I13" s="187"/>
      <c r="J13" s="124"/>
      <c r="K13" s="124"/>
      <c r="M13" s="6"/>
      <c r="N13" s="233" t="s">
        <v>133</v>
      </c>
      <c r="O13" s="233" t="s">
        <v>134</v>
      </c>
      <c r="P13" s="233" t="s">
        <v>135</v>
      </c>
      <c r="Q13" s="233" t="s">
        <v>136</v>
      </c>
    </row>
    <row r="14" spans="2:18" ht="27.75" customHeight="1">
      <c r="B14" s="188" t="s">
        <v>137</v>
      </c>
      <c r="C14" s="190" t="s">
        <v>138</v>
      </c>
      <c r="D14" s="190" t="s">
        <v>139</v>
      </c>
      <c r="E14" s="192" t="s">
        <v>140</v>
      </c>
      <c r="F14" s="194" t="s">
        <v>141</v>
      </c>
      <c r="G14" s="196" t="s">
        <v>142</v>
      </c>
      <c r="H14" s="197"/>
      <c r="I14" s="198" t="s">
        <v>163</v>
      </c>
      <c r="J14" s="125"/>
      <c r="K14" s="125"/>
      <c r="M14" s="6"/>
      <c r="N14" s="233"/>
      <c r="O14" s="233"/>
      <c r="P14" s="233"/>
      <c r="Q14" s="233"/>
    </row>
    <row r="15" spans="2:18" ht="45" customHeight="1" thickBot="1">
      <c r="B15" s="189"/>
      <c r="C15" s="191"/>
      <c r="D15" s="191"/>
      <c r="E15" s="193"/>
      <c r="F15" s="195"/>
      <c r="G15" s="48" t="s">
        <v>121</v>
      </c>
      <c r="H15" s="49" t="s">
        <v>122</v>
      </c>
      <c r="I15" s="199"/>
      <c r="J15" s="125"/>
      <c r="K15" s="125"/>
      <c r="N15" s="234">
        <v>23426.87</v>
      </c>
      <c r="O15" s="234">
        <v>27211.46</v>
      </c>
      <c r="P15" s="234">
        <f>26291.1*0.9</f>
        <v>23661.989999999998</v>
      </c>
      <c r="Q15" s="234">
        <f>29399.2*0.91</f>
        <v>26753.272000000001</v>
      </c>
      <c r="R15" s="232">
        <f>(N15+O15)/(P15+Q15)*100</f>
        <v>100.44246125310228</v>
      </c>
    </row>
    <row r="16" spans="2:18" ht="50.25" customHeight="1">
      <c r="B16" s="110" t="s">
        <v>143</v>
      </c>
      <c r="C16" s="51" t="s">
        <v>144</v>
      </c>
      <c r="D16" s="52" t="s">
        <v>145</v>
      </c>
      <c r="E16" s="53">
        <v>0</v>
      </c>
      <c r="F16" s="54">
        <v>0</v>
      </c>
      <c r="G16" s="55">
        <f>($N$15/$N$16*E16)+($O$15/$O$16*F16)</f>
        <v>0</v>
      </c>
      <c r="H16" s="56">
        <f>($P$15/$P$16*E16)+($Q$15/$Q$16*F16)</f>
        <v>0</v>
      </c>
      <c r="I16" s="57">
        <f>H16-G16</f>
        <v>0</v>
      </c>
      <c r="J16" s="126"/>
      <c r="K16" s="126"/>
      <c r="L16" s="7"/>
      <c r="M16" s="58"/>
      <c r="N16" s="235">
        <v>7.36</v>
      </c>
      <c r="O16" s="234">
        <v>8.65</v>
      </c>
      <c r="P16" s="235">
        <v>7.36</v>
      </c>
      <c r="Q16" s="234">
        <v>8.65</v>
      </c>
    </row>
    <row r="17" spans="2:17" ht="51">
      <c r="B17" s="127" t="s">
        <v>129</v>
      </c>
      <c r="C17" s="51" t="s">
        <v>144</v>
      </c>
      <c r="D17" s="52" t="s">
        <v>145</v>
      </c>
      <c r="E17" s="41">
        <v>1.1299999999999999</v>
      </c>
      <c r="F17" s="153">
        <v>1.17</v>
      </c>
      <c r="G17" s="55">
        <f t="shared" ref="G17:G27" si="0">($N$15/$N$16*E17)+($O$15/$O$16*F17)</f>
        <v>7277.413690107438</v>
      </c>
      <c r="H17" s="56">
        <f t="shared" ref="H17:H21" si="1">($P$15/$P$16*E17)+($Q$15/$Q$16*F17)</f>
        <v>7251.5377152142482</v>
      </c>
      <c r="I17" s="57">
        <f t="shared" ref="I17:I27" si="2">H17-G17</f>
        <v>-25.875974893189778</v>
      </c>
      <c r="J17" s="126"/>
      <c r="K17" s="126"/>
      <c r="L17" s="8"/>
      <c r="M17" s="8"/>
      <c r="N17" s="236"/>
      <c r="O17" s="237"/>
      <c r="P17" s="237"/>
      <c r="Q17" s="237"/>
    </row>
    <row r="18" spans="2:17" ht="52.5" customHeight="1">
      <c r="B18" s="62" t="s">
        <v>123</v>
      </c>
      <c r="C18" s="51" t="s">
        <v>144</v>
      </c>
      <c r="D18" s="52" t="s">
        <v>145</v>
      </c>
      <c r="E18" s="41">
        <v>0.28000000000000003</v>
      </c>
      <c r="F18" s="153">
        <v>0.27</v>
      </c>
      <c r="G18" s="55">
        <f t="shared" si="0"/>
        <v>1740.6146715883388</v>
      </c>
      <c r="H18" s="56">
        <f t="shared" si="1"/>
        <v>1735.2576322317163</v>
      </c>
      <c r="I18" s="57">
        <f t="shared" si="2"/>
        <v>-5.3570393566224084</v>
      </c>
      <c r="J18" s="126"/>
      <c r="K18" s="126"/>
      <c r="M18" s="6"/>
      <c r="N18" s="234"/>
      <c r="O18" s="234"/>
      <c r="P18" s="234"/>
      <c r="Q18" s="234"/>
    </row>
    <row r="19" spans="2:17" ht="25.5">
      <c r="B19" s="62" t="s">
        <v>146</v>
      </c>
      <c r="C19" s="59" t="s">
        <v>147</v>
      </c>
      <c r="D19" s="52" t="s">
        <v>145</v>
      </c>
      <c r="E19" s="41">
        <v>0</v>
      </c>
      <c r="F19" s="153">
        <v>0</v>
      </c>
      <c r="G19" s="55">
        <f t="shared" si="0"/>
        <v>0</v>
      </c>
      <c r="H19" s="56">
        <f t="shared" si="1"/>
        <v>0</v>
      </c>
      <c r="I19" s="57">
        <f t="shared" si="2"/>
        <v>0</v>
      </c>
      <c r="J19" s="126"/>
      <c r="K19" s="126"/>
      <c r="M19" s="6"/>
      <c r="N19" s="234"/>
      <c r="O19" s="234"/>
      <c r="P19" s="234"/>
      <c r="Q19" s="234"/>
    </row>
    <row r="20" spans="2:17" ht="51">
      <c r="B20" s="127" t="s">
        <v>124</v>
      </c>
      <c r="C20" s="51" t="s">
        <v>144</v>
      </c>
      <c r="D20" s="52" t="s">
        <v>145</v>
      </c>
      <c r="E20" s="41">
        <v>1.1399999999999999</v>
      </c>
      <c r="F20" s="153">
        <v>1.33</v>
      </c>
      <c r="G20" s="55">
        <f t="shared" si="0"/>
        <v>7812.5770406823322</v>
      </c>
      <c r="H20" s="56">
        <f t="shared" si="1"/>
        <v>7778.5453685536559</v>
      </c>
      <c r="I20" s="57">
        <f t="shared" si="2"/>
        <v>-34.031672128676291</v>
      </c>
      <c r="J20" s="126"/>
      <c r="K20" s="126"/>
      <c r="N20" s="234"/>
      <c r="O20" s="234"/>
      <c r="P20" s="234"/>
      <c r="Q20" s="234"/>
    </row>
    <row r="21" spans="2:17" ht="145.5" customHeight="1">
      <c r="B21" s="127" t="s">
        <v>125</v>
      </c>
      <c r="C21" s="51" t="s">
        <v>148</v>
      </c>
      <c r="D21" s="52" t="s">
        <v>145</v>
      </c>
      <c r="E21" s="41">
        <v>3.6</v>
      </c>
      <c r="F21" s="153">
        <v>3.33</v>
      </c>
      <c r="G21" s="55">
        <f t="shared" si="0"/>
        <v>21934.420750314148</v>
      </c>
      <c r="H21" s="56">
        <f t="shared" si="1"/>
        <v>21873.035960567981</v>
      </c>
      <c r="I21" s="57">
        <f t="shared" si="2"/>
        <v>-61.384789746167371</v>
      </c>
      <c r="J21" s="126"/>
      <c r="K21" s="126"/>
      <c r="L21" s="8"/>
      <c r="M21" s="60"/>
      <c r="N21" s="237"/>
      <c r="O21" s="237"/>
      <c r="P21" s="237"/>
      <c r="Q21" s="237"/>
    </row>
    <row r="22" spans="2:17" ht="27.75" customHeight="1">
      <c r="B22" s="62" t="s">
        <v>149</v>
      </c>
      <c r="C22" s="51" t="s">
        <v>147</v>
      </c>
      <c r="D22" s="52" t="s">
        <v>145</v>
      </c>
      <c r="E22" s="41">
        <v>1.94</v>
      </c>
      <c r="F22" s="153">
        <v>2</v>
      </c>
      <c r="G22" s="55">
        <v>11974.96</v>
      </c>
      <c r="H22" s="40">
        <v>12150.71</v>
      </c>
      <c r="I22" s="57">
        <f t="shared" si="2"/>
        <v>175.75</v>
      </c>
      <c r="J22" s="126"/>
      <c r="K22" s="126"/>
      <c r="N22" s="234"/>
      <c r="O22" s="234"/>
      <c r="P22" s="234"/>
      <c r="Q22" s="234"/>
    </row>
    <row r="23" spans="2:17" ht="108.75" customHeight="1">
      <c r="B23" s="127" t="s">
        <v>150</v>
      </c>
      <c r="C23" s="51" t="s">
        <v>144</v>
      </c>
      <c r="D23" s="52" t="s">
        <v>145</v>
      </c>
      <c r="E23" s="41">
        <v>0.22</v>
      </c>
      <c r="F23" s="153">
        <v>0.21</v>
      </c>
      <c r="G23" s="55">
        <f t="shared" si="0"/>
        <v>1360.8847415493842</v>
      </c>
      <c r="H23" s="56">
        <f t="shared" ref="H23" si="3">($P$15/$P$16*E23)+($Q$15/$Q$16*F23)</f>
        <v>1356.7891457212866</v>
      </c>
      <c r="I23" s="57">
        <f t="shared" si="2"/>
        <v>-4.0955958280976574</v>
      </c>
      <c r="J23" s="126"/>
      <c r="K23" s="126"/>
      <c r="N23" s="234"/>
      <c r="O23" s="234"/>
      <c r="P23" s="234"/>
      <c r="Q23" s="234"/>
    </row>
    <row r="24" spans="2:17" ht="48">
      <c r="B24" s="62" t="s">
        <v>151</v>
      </c>
      <c r="C24" s="51" t="s">
        <v>144</v>
      </c>
      <c r="D24" s="52" t="s">
        <v>145</v>
      </c>
      <c r="E24" s="41">
        <v>4.1900000000000004</v>
      </c>
      <c r="F24" s="153">
        <v>4.1900000000000004</v>
      </c>
      <c r="G24" s="55">
        <v>26673.53</v>
      </c>
      <c r="H24" s="128">
        <v>8549</v>
      </c>
      <c r="I24" s="57">
        <f t="shared" si="2"/>
        <v>-18124.53</v>
      </c>
      <c r="J24" s="126"/>
      <c r="K24" s="126"/>
      <c r="M24" s="6"/>
      <c r="N24" s="234"/>
      <c r="O24" s="234"/>
      <c r="P24" s="234"/>
      <c r="Q24" s="234"/>
    </row>
    <row r="25" spans="2:17" ht="63.75">
      <c r="B25" s="127" t="s">
        <v>152</v>
      </c>
      <c r="C25" s="59" t="s">
        <v>148</v>
      </c>
      <c r="D25" s="52" t="s">
        <v>145</v>
      </c>
      <c r="E25" s="41">
        <v>0.71</v>
      </c>
      <c r="F25" s="153">
        <v>1.44</v>
      </c>
      <c r="G25" s="55">
        <f t="shared" si="0"/>
        <v>6789.9293127827332</v>
      </c>
      <c r="H25" s="56">
        <f>($P$15/$P$16*E25)+($Q$15/$Q$16*F25)</f>
        <v>6736.3343420111833</v>
      </c>
      <c r="I25" s="57">
        <f t="shared" si="2"/>
        <v>-53.594970771549924</v>
      </c>
      <c r="J25" s="126"/>
      <c r="K25" s="126"/>
      <c r="L25" s="154"/>
      <c r="M25" s="6"/>
      <c r="N25" s="234"/>
      <c r="O25" s="234"/>
      <c r="P25" s="234"/>
      <c r="Q25" s="234"/>
    </row>
    <row r="26" spans="2:17" ht="63.75">
      <c r="B26" s="127" t="s">
        <v>126</v>
      </c>
      <c r="C26" s="59" t="s">
        <v>148</v>
      </c>
      <c r="D26" s="52" t="s">
        <v>145</v>
      </c>
      <c r="E26" s="41">
        <v>0.25</v>
      </c>
      <c r="F26" s="153">
        <v>0.83</v>
      </c>
      <c r="G26" s="55">
        <f t="shared" si="0"/>
        <v>3406.7914869156821</v>
      </c>
      <c r="H26" s="56">
        <f t="shared" ref="H26:H27" si="4">($P$15/$P$16*E26)+($Q$15/$Q$16*F26)</f>
        <v>3370.8130398435533</v>
      </c>
      <c r="I26" s="57">
        <f t="shared" si="2"/>
        <v>-35.978447072128802</v>
      </c>
      <c r="J26" s="126"/>
      <c r="K26" s="126"/>
      <c r="L26" s="64"/>
      <c r="M26" s="6"/>
      <c r="N26" s="238"/>
      <c r="O26" s="238"/>
      <c r="P26" s="234"/>
      <c r="Q26" s="234"/>
    </row>
    <row r="27" spans="2:17">
      <c r="B27" s="62" t="s">
        <v>127</v>
      </c>
      <c r="C27" s="129" t="s">
        <v>148</v>
      </c>
      <c r="D27" s="52" t="s">
        <v>145</v>
      </c>
      <c r="E27" s="41">
        <v>0.03</v>
      </c>
      <c r="F27" s="153">
        <v>7.0000000000000007E-2</v>
      </c>
      <c r="G27" s="55">
        <f t="shared" si="0"/>
        <v>315.69830605993968</v>
      </c>
      <c r="H27" s="56">
        <f t="shared" si="4"/>
        <v>312.94879585637096</v>
      </c>
      <c r="I27" s="57">
        <f t="shared" si="2"/>
        <v>-2.7495102035687182</v>
      </c>
      <c r="J27" s="126"/>
      <c r="K27" s="126"/>
      <c r="N27" s="234"/>
      <c r="O27" s="234"/>
      <c r="P27" s="234"/>
      <c r="Q27" s="234"/>
    </row>
    <row r="28" spans="2:17" ht="16.5" thickBot="1">
      <c r="B28" s="33" t="s">
        <v>128</v>
      </c>
      <c r="C28" s="130"/>
      <c r="D28" s="130"/>
      <c r="E28" s="34">
        <f>SUM(E16:E27)</f>
        <v>13.49</v>
      </c>
      <c r="F28" s="131">
        <f>SUM(F16:F27)</f>
        <v>14.84</v>
      </c>
      <c r="G28" s="132">
        <f>SUM(G16:G27)</f>
        <v>89286.82</v>
      </c>
      <c r="H28" s="133">
        <f>SUM(H16:H27)</f>
        <v>71114.971999999994</v>
      </c>
      <c r="I28" s="134">
        <f>H28-G28</f>
        <v>-18171.848000000013</v>
      </c>
      <c r="J28" s="135"/>
      <c r="K28" s="135"/>
      <c r="N28" s="234"/>
      <c r="O28" s="234"/>
      <c r="P28" s="234"/>
      <c r="Q28" s="234"/>
    </row>
    <row r="29" spans="2:17">
      <c r="B29" s="6"/>
      <c r="C29" s="6"/>
      <c r="D29" s="6"/>
      <c r="E29" s="29"/>
      <c r="F29" s="29"/>
      <c r="G29" s="29"/>
      <c r="H29" s="29"/>
      <c r="I29" s="2"/>
      <c r="J29" s="2"/>
      <c r="K29" s="2"/>
      <c r="N29" s="234"/>
      <c r="O29" s="234"/>
      <c r="P29" s="234"/>
      <c r="Q29" s="234"/>
    </row>
    <row r="30" spans="2:17" ht="16.5" thickBot="1">
      <c r="B30" s="207" t="s">
        <v>153</v>
      </c>
      <c r="C30" s="207"/>
      <c r="D30" s="207"/>
      <c r="E30" s="207"/>
      <c r="F30" s="207"/>
      <c r="G30" s="207"/>
      <c r="H30" s="207"/>
      <c r="I30" s="207"/>
      <c r="J30" s="149"/>
      <c r="K30" s="149"/>
      <c r="N30" s="234"/>
      <c r="O30" s="234"/>
      <c r="P30" s="234"/>
      <c r="Q30" s="234"/>
    </row>
    <row r="31" spans="2:17" ht="44.25" customHeight="1">
      <c r="B31" s="20"/>
      <c r="C31" s="65"/>
      <c r="D31" s="208" t="s">
        <v>154</v>
      </c>
      <c r="E31" s="209"/>
      <c r="F31" s="210" t="s">
        <v>10</v>
      </c>
      <c r="G31" s="211"/>
      <c r="H31" s="210" t="s">
        <v>11</v>
      </c>
      <c r="I31" s="212"/>
      <c r="J31" s="154"/>
      <c r="K31" s="154"/>
      <c r="L31" s="24"/>
      <c r="M31" s="9"/>
      <c r="N31" s="238"/>
      <c r="O31" s="238"/>
      <c r="P31" s="238"/>
      <c r="Q31" s="238"/>
    </row>
    <row r="32" spans="2:17">
      <c r="B32" s="21" t="s">
        <v>12</v>
      </c>
      <c r="C32" s="67"/>
      <c r="D32" s="203">
        <f>F32+H32</f>
        <v>89286.82</v>
      </c>
      <c r="E32" s="204"/>
      <c r="F32" s="203">
        <f>23426.87+27211.46+11974.96</f>
        <v>62613.29</v>
      </c>
      <c r="G32" s="204"/>
      <c r="H32" s="203">
        <f>G24</f>
        <v>26673.53</v>
      </c>
      <c r="I32" s="213"/>
      <c r="J32" s="155"/>
      <c r="K32" s="155"/>
      <c r="L32" s="10"/>
      <c r="M32" s="10"/>
      <c r="N32" s="234"/>
      <c r="O32" s="234"/>
      <c r="P32" s="234"/>
      <c r="Q32" s="234"/>
    </row>
    <row r="33" spans="2:17">
      <c r="B33" s="21" t="s">
        <v>13</v>
      </c>
      <c r="C33" s="67"/>
      <c r="D33" s="203">
        <f>F33+H33</f>
        <v>80922.490000000005</v>
      </c>
      <c r="E33" s="204"/>
      <c r="F33" s="203">
        <f>21221.59+24649.91+10888.36</f>
        <v>56759.86</v>
      </c>
      <c r="G33" s="204"/>
      <c r="H33" s="203">
        <v>24162.63</v>
      </c>
      <c r="I33" s="213"/>
      <c r="J33" s="155"/>
      <c r="K33" s="155"/>
      <c r="L33" s="25"/>
      <c r="M33" s="10"/>
      <c r="N33" s="234"/>
      <c r="O33" s="234"/>
      <c r="P33" s="234"/>
      <c r="Q33" s="234"/>
    </row>
    <row r="34" spans="2:17" ht="16.5" thickBot="1">
      <c r="B34" s="22" t="s">
        <v>114</v>
      </c>
      <c r="C34" s="69"/>
      <c r="D34" s="205">
        <f>F34+H34</f>
        <v>71114.971999999994</v>
      </c>
      <c r="E34" s="206"/>
      <c r="F34" s="205">
        <f>H16+H17+H18+H19+H20+H21+H22+H23+H25+H26+H27</f>
        <v>62565.971999999994</v>
      </c>
      <c r="G34" s="206"/>
      <c r="H34" s="205">
        <f>H24</f>
        <v>8549</v>
      </c>
      <c r="I34" s="214"/>
      <c r="J34" s="155"/>
      <c r="K34" s="155"/>
      <c r="L34" s="10"/>
      <c r="M34" s="10"/>
      <c r="N34" s="234"/>
      <c r="O34" s="234"/>
      <c r="P34" s="234"/>
      <c r="Q34" s="234"/>
    </row>
    <row r="35" spans="2:17" ht="27" thickBot="1">
      <c r="B35" s="23" t="s">
        <v>115</v>
      </c>
      <c r="C35" s="72"/>
      <c r="D35" s="184">
        <f>F35+H35</f>
        <v>9807.5180000000073</v>
      </c>
      <c r="E35" s="185"/>
      <c r="F35" s="182">
        <f>F33-F34</f>
        <v>-5806.1119999999937</v>
      </c>
      <c r="G35" s="183"/>
      <c r="H35" s="182">
        <f>H33-H34</f>
        <v>15613.630000000001</v>
      </c>
      <c r="I35" s="202"/>
      <c r="J35" s="155"/>
      <c r="K35" s="155"/>
      <c r="L35" s="10"/>
      <c r="M35" s="10"/>
      <c r="N35" s="234"/>
      <c r="O35" s="234"/>
      <c r="P35" s="234"/>
      <c r="Q35" s="234"/>
    </row>
    <row r="36" spans="2:17" ht="34.5" customHeight="1">
      <c r="B36" s="147" t="s">
        <v>116</v>
      </c>
      <c r="C36" s="147"/>
      <c r="D36" s="136"/>
      <c r="E36" s="180" t="s">
        <v>117</v>
      </c>
      <c r="F36" s="180"/>
      <c r="G36" s="178" t="s">
        <v>14</v>
      </c>
      <c r="H36" s="178"/>
      <c r="I36" s="147"/>
      <c r="J36" s="147"/>
      <c r="K36" s="147"/>
      <c r="L36" s="8"/>
      <c r="M36" s="8"/>
      <c r="N36" s="237"/>
      <c r="O36" s="237"/>
      <c r="P36" s="237"/>
      <c r="Q36" s="237"/>
    </row>
    <row r="37" spans="2:17" ht="11.25" customHeight="1">
      <c r="B37" s="147"/>
      <c r="C37" s="147"/>
      <c r="D37" s="147"/>
      <c r="E37" s="179" t="s">
        <v>15</v>
      </c>
      <c r="F37" s="179"/>
      <c r="G37" s="181"/>
      <c r="H37" s="181"/>
      <c r="I37" s="148"/>
      <c r="J37" s="148"/>
      <c r="K37" s="148"/>
      <c r="L37" s="8"/>
      <c r="M37" s="8"/>
      <c r="N37" s="237"/>
      <c r="O37" s="237"/>
      <c r="P37" s="237"/>
      <c r="Q37" s="237"/>
    </row>
    <row r="38" spans="2:17">
      <c r="B38" s="147" t="s">
        <v>118</v>
      </c>
      <c r="C38" s="147"/>
      <c r="D38" s="147"/>
      <c r="E38" s="177" t="s">
        <v>117</v>
      </c>
      <c r="F38" s="177"/>
      <c r="G38" s="178" t="s">
        <v>131</v>
      </c>
      <c r="H38" s="178"/>
      <c r="I38" s="147"/>
      <c r="J38" s="147"/>
      <c r="K38" s="147"/>
      <c r="L38" s="8"/>
      <c r="M38" s="8"/>
      <c r="N38" s="237"/>
      <c r="O38" s="237"/>
      <c r="P38" s="237"/>
      <c r="Q38" s="237"/>
    </row>
    <row r="39" spans="2:17" ht="9.75" customHeight="1">
      <c r="B39" s="147"/>
      <c r="C39" s="147"/>
      <c r="D39" s="147"/>
      <c r="E39" s="179" t="s">
        <v>15</v>
      </c>
      <c r="F39" s="179"/>
      <c r="G39" s="178"/>
      <c r="H39" s="178"/>
      <c r="I39" s="147"/>
      <c r="J39" s="147"/>
      <c r="K39" s="147"/>
      <c r="N39" s="234"/>
      <c r="O39" s="234"/>
      <c r="P39" s="234"/>
      <c r="Q39" s="234"/>
    </row>
    <row r="40" spans="2:17">
      <c r="B40" s="147" t="s">
        <v>119</v>
      </c>
      <c r="C40" s="147"/>
      <c r="D40" s="147"/>
      <c r="E40" s="177" t="s">
        <v>117</v>
      </c>
      <c r="F40" s="177"/>
      <c r="G40" s="178" t="s">
        <v>157</v>
      </c>
      <c r="H40" s="178"/>
      <c r="I40" s="147"/>
      <c r="J40" s="147"/>
      <c r="K40" s="147"/>
      <c r="N40" s="234"/>
      <c r="O40" s="234"/>
      <c r="P40" s="234"/>
      <c r="Q40" s="234"/>
    </row>
    <row r="41" spans="2:17" ht="8.25" customHeight="1">
      <c r="B41" s="27"/>
      <c r="C41" s="27"/>
      <c r="D41" s="27"/>
      <c r="E41" s="179" t="s">
        <v>15</v>
      </c>
      <c r="F41" s="179"/>
      <c r="G41" s="151"/>
      <c r="H41" s="137"/>
      <c r="I41" s="152"/>
      <c r="J41" s="152"/>
      <c r="K41" s="152"/>
      <c r="N41" s="234"/>
      <c r="O41" s="234"/>
      <c r="P41" s="234"/>
      <c r="Q41" s="234"/>
    </row>
    <row r="42" spans="2:17">
      <c r="B42" s="147" t="s">
        <v>120</v>
      </c>
      <c r="C42" s="147"/>
      <c r="D42" s="147"/>
      <c r="E42" s="177" t="s">
        <v>117</v>
      </c>
      <c r="F42" s="177"/>
      <c r="G42" s="178" t="s">
        <v>93</v>
      </c>
      <c r="H42" s="178"/>
    </row>
    <row r="43" spans="2:17" ht="9" customHeight="1">
      <c r="B43" s="138"/>
      <c r="C43" s="138"/>
      <c r="D43" s="138"/>
      <c r="E43" s="179" t="s">
        <v>15</v>
      </c>
      <c r="F43" s="179"/>
      <c r="G43" s="179"/>
      <c r="H43" s="179"/>
    </row>
  </sheetData>
  <mergeCells count="42">
    <mergeCell ref="E43:F43"/>
    <mergeCell ref="G43:H43"/>
    <mergeCell ref="E37:F37"/>
    <mergeCell ref="B2:I3"/>
    <mergeCell ref="D5:F5"/>
    <mergeCell ref="D12:E12"/>
    <mergeCell ref="E40:F40"/>
    <mergeCell ref="G40:H40"/>
    <mergeCell ref="E41:F41"/>
    <mergeCell ref="E42:F42"/>
    <mergeCell ref="G42:H42"/>
    <mergeCell ref="B30:I30"/>
    <mergeCell ref="D31:E31"/>
    <mergeCell ref="F31:G31"/>
    <mergeCell ref="H31:I31"/>
    <mergeCell ref="D32:E32"/>
    <mergeCell ref="B13:I13"/>
    <mergeCell ref="B14:B15"/>
    <mergeCell ref="C14:C15"/>
    <mergeCell ref="D14:D15"/>
    <mergeCell ref="E14:E15"/>
    <mergeCell ref="F14:F15"/>
    <mergeCell ref="G14:H14"/>
    <mergeCell ref="I14:I15"/>
    <mergeCell ref="F32:G32"/>
    <mergeCell ref="H32:I32"/>
    <mergeCell ref="D33:E33"/>
    <mergeCell ref="F33:G33"/>
    <mergeCell ref="H33:I33"/>
    <mergeCell ref="D34:E34"/>
    <mergeCell ref="F34:G34"/>
    <mergeCell ref="H34:I34"/>
    <mergeCell ref="D35:E35"/>
    <mergeCell ref="F35:G35"/>
    <mergeCell ref="H35:I35"/>
    <mergeCell ref="E39:F39"/>
    <mergeCell ref="G39:H39"/>
    <mergeCell ref="E36:F36"/>
    <mergeCell ref="G36:H36"/>
    <mergeCell ref="G37:H37"/>
    <mergeCell ref="E38:F38"/>
    <mergeCell ref="G38:H38"/>
  </mergeCells>
  <printOptions horizontalCentered="1"/>
  <pageMargins left="0.23622047244094491" right="0.19685039370078741" top="0.15748031496062992" bottom="0.23622047244094491" header="0.31496062992125984" footer="0.31496062992125984"/>
  <pageSetup paperSize="9" scale="43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B1:S43"/>
  <sheetViews>
    <sheetView zoomScale="110" zoomScaleNormal="110" workbookViewId="0">
      <selection activeCell="B1" sqref="B1:I1"/>
    </sheetView>
  </sheetViews>
  <sheetFormatPr defaultColWidth="9.140625" defaultRowHeight="15.75" outlineLevelRow="1"/>
  <cols>
    <col min="1" max="1" width="2.85546875" style="1" customWidth="1"/>
    <col min="2" max="2" width="52.7109375" style="1" customWidth="1"/>
    <col min="3" max="3" width="12.7109375" style="29" customWidth="1"/>
    <col min="4" max="4" width="9" style="2" customWidth="1"/>
    <col min="5" max="5" width="10.5703125" style="2" customWidth="1"/>
    <col min="6" max="6" width="10.28515625" style="2" customWidth="1"/>
    <col min="7" max="7" width="9.85546875" style="1" customWidth="1"/>
    <col min="8" max="8" width="10.42578125" style="1" customWidth="1"/>
    <col min="9" max="9" width="11.5703125" style="1" customWidth="1"/>
    <col min="10" max="10" width="12.28515625" style="1" customWidth="1"/>
    <col min="11" max="13" width="9.140625" style="1"/>
    <col min="14" max="14" width="15.85546875" style="232" customWidth="1"/>
    <col min="15" max="15" width="14.7109375" style="232" customWidth="1"/>
    <col min="16" max="16" width="13.42578125" style="232" customWidth="1"/>
    <col min="17" max="17" width="15" style="232" customWidth="1"/>
    <col min="18" max="19" width="9.140625" style="232"/>
    <col min="20" max="16384" width="9.140625" style="1"/>
  </cols>
  <sheetData>
    <row r="1" spans="2:18">
      <c r="B1" s="137"/>
      <c r="C1" s="137"/>
      <c r="D1" s="137"/>
      <c r="E1" s="137"/>
      <c r="F1" s="137"/>
      <c r="G1" s="137"/>
      <c r="H1" s="137"/>
      <c r="I1" s="137"/>
    </row>
    <row r="2" spans="2:18" ht="19.5" customHeight="1">
      <c r="B2" s="186" t="s">
        <v>161</v>
      </c>
      <c r="C2" s="186"/>
      <c r="D2" s="186"/>
      <c r="E2" s="186"/>
      <c r="F2" s="186"/>
      <c r="G2" s="186"/>
      <c r="H2" s="186"/>
      <c r="I2" s="186"/>
    </row>
    <row r="3" spans="2:18" ht="20.25" customHeight="1">
      <c r="B3" s="186"/>
      <c r="C3" s="186"/>
      <c r="D3" s="186"/>
      <c r="E3" s="186"/>
      <c r="F3" s="186"/>
      <c r="G3" s="186"/>
      <c r="H3" s="186"/>
      <c r="I3" s="186"/>
    </row>
    <row r="4" spans="2:18" ht="14.25" customHeight="1"/>
    <row r="5" spans="2:18">
      <c r="B5" s="1" t="s">
        <v>0</v>
      </c>
      <c r="D5" s="200" t="s">
        <v>49</v>
      </c>
      <c r="E5" s="200"/>
      <c r="F5" s="200"/>
    </row>
    <row r="6" spans="2:18">
      <c r="B6" s="1" t="s">
        <v>1</v>
      </c>
      <c r="D6" s="13">
        <v>1956</v>
      </c>
      <c r="E6" s="13"/>
      <c r="F6" s="13"/>
    </row>
    <row r="7" spans="2:18" hidden="1" outlineLevel="1">
      <c r="B7" s="1" t="s">
        <v>2</v>
      </c>
      <c r="D7" s="13">
        <v>2</v>
      </c>
      <c r="E7" s="13"/>
      <c r="F7" s="13"/>
    </row>
    <row r="8" spans="2:18" hidden="1" outlineLevel="1">
      <c r="B8" s="1" t="s">
        <v>3</v>
      </c>
      <c r="D8" s="13">
        <v>12</v>
      </c>
      <c r="E8" s="13"/>
      <c r="F8" s="13"/>
    </row>
    <row r="9" spans="2:18" ht="30.75" hidden="1" customHeight="1" outlineLevel="1">
      <c r="B9" s="4" t="s">
        <v>4</v>
      </c>
      <c r="C9" s="37"/>
      <c r="D9" s="13" t="s">
        <v>50</v>
      </c>
      <c r="E9" s="13"/>
      <c r="F9" s="13"/>
    </row>
    <row r="10" spans="2:18" collapsed="1">
      <c r="B10" s="1" t="s">
        <v>5</v>
      </c>
      <c r="D10" s="16" t="s">
        <v>96</v>
      </c>
      <c r="E10" s="13"/>
      <c r="F10" s="13"/>
      <c r="J10" s="6"/>
    </row>
    <row r="11" spans="2:18" hidden="1" outlineLevel="1">
      <c r="B11" s="1" t="s">
        <v>6</v>
      </c>
      <c r="D11" s="13" t="s">
        <v>7</v>
      </c>
      <c r="E11" s="13"/>
      <c r="F11" s="13"/>
    </row>
    <row r="12" spans="2:18" ht="30.75" hidden="1" customHeight="1" outlineLevel="1">
      <c r="B12" s="4" t="s">
        <v>8</v>
      </c>
      <c r="C12" s="37"/>
      <c r="D12" s="201" t="s">
        <v>51</v>
      </c>
      <c r="E12" s="201"/>
      <c r="F12" s="13"/>
      <c r="J12" s="6"/>
    </row>
    <row r="13" spans="2:18" ht="31.5" customHeight="1" collapsed="1" thickBot="1">
      <c r="B13" s="187" t="s">
        <v>132</v>
      </c>
      <c r="C13" s="187"/>
      <c r="D13" s="187"/>
      <c r="E13" s="187"/>
      <c r="F13" s="187"/>
      <c r="G13" s="187"/>
      <c r="H13" s="187"/>
      <c r="I13" s="187"/>
      <c r="J13" s="124"/>
      <c r="K13" s="124"/>
      <c r="M13" s="6"/>
      <c r="N13" s="233" t="s">
        <v>133</v>
      </c>
      <c r="O13" s="233" t="s">
        <v>134</v>
      </c>
      <c r="P13" s="233" t="s">
        <v>135</v>
      </c>
      <c r="Q13" s="233" t="s">
        <v>136</v>
      </c>
    </row>
    <row r="14" spans="2:18" ht="27.75" customHeight="1">
      <c r="B14" s="188" t="s">
        <v>137</v>
      </c>
      <c r="C14" s="190" t="s">
        <v>138</v>
      </c>
      <c r="D14" s="190" t="s">
        <v>139</v>
      </c>
      <c r="E14" s="192" t="s">
        <v>140</v>
      </c>
      <c r="F14" s="194" t="s">
        <v>141</v>
      </c>
      <c r="G14" s="196" t="s">
        <v>142</v>
      </c>
      <c r="H14" s="197"/>
      <c r="I14" s="198" t="s">
        <v>163</v>
      </c>
      <c r="J14" s="125"/>
      <c r="K14" s="125"/>
      <c r="M14" s="6"/>
      <c r="N14" s="233"/>
      <c r="O14" s="233"/>
      <c r="P14" s="233"/>
      <c r="Q14" s="233"/>
    </row>
    <row r="15" spans="2:18" ht="45" customHeight="1" thickBot="1">
      <c r="B15" s="189"/>
      <c r="C15" s="191"/>
      <c r="D15" s="191"/>
      <c r="E15" s="193"/>
      <c r="F15" s="195"/>
      <c r="G15" s="48" t="s">
        <v>121</v>
      </c>
      <c r="H15" s="49" t="s">
        <v>122</v>
      </c>
      <c r="I15" s="199"/>
      <c r="J15" s="125"/>
      <c r="K15" s="125"/>
      <c r="N15" s="234">
        <v>36505.81</v>
      </c>
      <c r="O15" s="234">
        <v>40509.42</v>
      </c>
      <c r="P15" s="234">
        <f>31451.89*1.15</f>
        <v>36169.673499999997</v>
      </c>
      <c r="Q15" s="234">
        <f>35170.09*1.15</f>
        <v>40445.60349999999</v>
      </c>
      <c r="R15" s="232">
        <f>(N15+O15)/(P15+Q15)*100</f>
        <v>100.52202774128193</v>
      </c>
    </row>
    <row r="16" spans="2:18" ht="50.25" customHeight="1">
      <c r="B16" s="110" t="s">
        <v>143</v>
      </c>
      <c r="C16" s="51" t="s">
        <v>144</v>
      </c>
      <c r="D16" s="52" t="s">
        <v>145</v>
      </c>
      <c r="E16" s="53">
        <v>1.01</v>
      </c>
      <c r="F16" s="54">
        <v>1.05</v>
      </c>
      <c r="G16" s="55">
        <f>($N$15/$N$16*E16)+($O$15/$O$16*F16)</f>
        <v>7953.8328162740181</v>
      </c>
      <c r="H16" s="56">
        <f>($P$15/$P$16*E16)+($Q$15/$Q$16*F16)</f>
        <v>7911.396972200936</v>
      </c>
      <c r="I16" s="57">
        <f>H16-G16</f>
        <v>-42.43584407308208</v>
      </c>
      <c r="J16" s="126"/>
      <c r="K16" s="126"/>
      <c r="L16" s="7"/>
      <c r="M16" s="58"/>
      <c r="N16" s="235">
        <f>14.9-3.55-1.94</f>
        <v>9.4100000000000019</v>
      </c>
      <c r="O16" s="234">
        <f>16.09-3.55-2</f>
        <v>10.54</v>
      </c>
      <c r="P16" s="235">
        <v>9.41</v>
      </c>
      <c r="Q16" s="234">
        <v>10.54</v>
      </c>
    </row>
    <row r="17" spans="2:17" ht="51">
      <c r="B17" s="127" t="s">
        <v>129</v>
      </c>
      <c r="C17" s="51" t="s">
        <v>144</v>
      </c>
      <c r="D17" s="52" t="s">
        <v>145</v>
      </c>
      <c r="E17" s="41">
        <v>1.1299999999999999</v>
      </c>
      <c r="F17" s="159">
        <v>1.17</v>
      </c>
      <c r="G17" s="55">
        <f t="shared" ref="G17:G27" si="0">($N$15/$N$16*E17)+($O$15/$O$16*F17)</f>
        <v>8880.5769996793733</v>
      </c>
      <c r="H17" s="56">
        <f t="shared" ref="H17:H21" si="1">($P$15/$P$16*E17)+($Q$15/$Q$16*F17)</f>
        <v>8833.1280479369088</v>
      </c>
      <c r="I17" s="57">
        <f t="shared" ref="I17:I27" si="2">H17-G17</f>
        <v>-47.448951742464487</v>
      </c>
      <c r="J17" s="126"/>
      <c r="K17" s="126"/>
      <c r="L17" s="8"/>
      <c r="M17" s="8"/>
      <c r="N17" s="236"/>
      <c r="O17" s="237"/>
      <c r="P17" s="237"/>
      <c r="Q17" s="237"/>
    </row>
    <row r="18" spans="2:17" ht="52.5" customHeight="1">
      <c r="B18" s="62" t="s">
        <v>123</v>
      </c>
      <c r="C18" s="51" t="s">
        <v>144</v>
      </c>
      <c r="D18" s="52" t="s">
        <v>145</v>
      </c>
      <c r="E18" s="41">
        <v>0.28000000000000003</v>
      </c>
      <c r="F18" s="159">
        <v>0.27</v>
      </c>
      <c r="G18" s="55">
        <f t="shared" si="0"/>
        <v>2123.9691097927634</v>
      </c>
      <c r="H18" s="56">
        <f t="shared" si="1"/>
        <v>2112.3324055281537</v>
      </c>
      <c r="I18" s="57">
        <f t="shared" si="2"/>
        <v>-11.636704264609762</v>
      </c>
      <c r="J18" s="126"/>
      <c r="K18" s="126"/>
      <c r="M18" s="6"/>
      <c r="N18" s="234"/>
      <c r="O18" s="234"/>
      <c r="P18" s="234"/>
      <c r="Q18" s="234"/>
    </row>
    <row r="19" spans="2:17" ht="25.5">
      <c r="B19" s="62" t="s">
        <v>146</v>
      </c>
      <c r="C19" s="59" t="s">
        <v>147</v>
      </c>
      <c r="D19" s="52" t="s">
        <v>145</v>
      </c>
      <c r="E19" s="41">
        <v>0</v>
      </c>
      <c r="F19" s="159">
        <v>0</v>
      </c>
      <c r="G19" s="55">
        <f t="shared" si="0"/>
        <v>0</v>
      </c>
      <c r="H19" s="56">
        <f t="shared" si="1"/>
        <v>0</v>
      </c>
      <c r="I19" s="57">
        <f t="shared" si="2"/>
        <v>0</v>
      </c>
      <c r="J19" s="126"/>
      <c r="K19" s="126"/>
      <c r="M19" s="6"/>
      <c r="N19" s="234"/>
      <c r="O19" s="234"/>
      <c r="P19" s="234"/>
      <c r="Q19" s="234"/>
    </row>
    <row r="20" spans="2:17" ht="51">
      <c r="B20" s="127" t="s">
        <v>124</v>
      </c>
      <c r="C20" s="51" t="s">
        <v>144</v>
      </c>
      <c r="D20" s="52" t="s">
        <v>145</v>
      </c>
      <c r="E20" s="41">
        <v>1.1399999999999999</v>
      </c>
      <c r="F20" s="159">
        <v>1.33</v>
      </c>
      <c r="G20" s="55">
        <f t="shared" si="0"/>
        <v>9534.3154539258358</v>
      </c>
      <c r="H20" s="56">
        <f t="shared" si="1"/>
        <v>9485.5405387517203</v>
      </c>
      <c r="I20" s="57">
        <f t="shared" si="2"/>
        <v>-48.774915174115449</v>
      </c>
      <c r="J20" s="126"/>
      <c r="K20" s="126"/>
      <c r="N20" s="234"/>
      <c r="O20" s="234"/>
      <c r="P20" s="234"/>
      <c r="Q20" s="234"/>
    </row>
    <row r="21" spans="2:17" ht="145.5" customHeight="1">
      <c r="B21" s="127" t="s">
        <v>125</v>
      </c>
      <c r="C21" s="51" t="s">
        <v>148</v>
      </c>
      <c r="D21" s="52" t="s">
        <v>145</v>
      </c>
      <c r="E21" s="41">
        <v>3.67</v>
      </c>
      <c r="F21" s="159">
        <v>3.33</v>
      </c>
      <c r="G21" s="55">
        <f t="shared" si="0"/>
        <v>27036.170791942841</v>
      </c>
      <c r="H21" s="56">
        <f t="shared" si="1"/>
        <v>26884.91184582845</v>
      </c>
      <c r="I21" s="57">
        <f t="shared" si="2"/>
        <v>-151.25894611439071</v>
      </c>
      <c r="J21" s="126"/>
      <c r="K21" s="126"/>
      <c r="L21" s="8"/>
      <c r="M21" s="60"/>
      <c r="N21" s="237"/>
      <c r="O21" s="237"/>
      <c r="P21" s="237"/>
      <c r="Q21" s="237"/>
    </row>
    <row r="22" spans="2:17" ht="27.75" customHeight="1">
      <c r="B22" s="62" t="s">
        <v>149</v>
      </c>
      <c r="C22" s="51" t="s">
        <v>147</v>
      </c>
      <c r="D22" s="52" t="s">
        <v>145</v>
      </c>
      <c r="E22" s="41">
        <v>1.94</v>
      </c>
      <c r="F22" s="159">
        <v>2</v>
      </c>
      <c r="G22" s="55">
        <v>14317.44</v>
      </c>
      <c r="H22" s="40">
        <v>14535.83</v>
      </c>
      <c r="I22" s="57">
        <f t="shared" si="2"/>
        <v>218.38999999999942</v>
      </c>
      <c r="J22" s="126"/>
      <c r="K22" s="126"/>
      <c r="N22" s="234"/>
      <c r="O22" s="234"/>
      <c r="P22" s="234"/>
      <c r="Q22" s="234"/>
    </row>
    <row r="23" spans="2:17" ht="108.75" customHeight="1">
      <c r="B23" s="127" t="s">
        <v>150</v>
      </c>
      <c r="C23" s="51" t="s">
        <v>144</v>
      </c>
      <c r="D23" s="52" t="s">
        <v>145</v>
      </c>
      <c r="E23" s="41">
        <v>0.22</v>
      </c>
      <c r="F23" s="159">
        <v>0.21</v>
      </c>
      <c r="G23" s="55">
        <f t="shared" si="0"/>
        <v>1660.5970180900852</v>
      </c>
      <c r="H23" s="56">
        <f t="shared" ref="H23" si="3">($P$15/$P$16*E23)+($Q$15/$Q$16*F23)</f>
        <v>1651.4668676601659</v>
      </c>
      <c r="I23" s="57">
        <f t="shared" si="2"/>
        <v>-9.1301504299192402</v>
      </c>
      <c r="J23" s="126"/>
      <c r="K23" s="126"/>
      <c r="N23" s="234"/>
      <c r="O23" s="234"/>
      <c r="P23" s="234"/>
      <c r="Q23" s="234"/>
    </row>
    <row r="24" spans="2:17" ht="48">
      <c r="B24" s="62" t="s">
        <v>151</v>
      </c>
      <c r="C24" s="51" t="s">
        <v>144</v>
      </c>
      <c r="D24" s="52" t="s">
        <v>145</v>
      </c>
      <c r="E24" s="41">
        <v>3.55</v>
      </c>
      <c r="F24" s="159">
        <v>3.55</v>
      </c>
      <c r="G24" s="55">
        <v>27544.240000000002</v>
      </c>
      <c r="H24" s="128">
        <v>25600</v>
      </c>
      <c r="I24" s="57">
        <f t="shared" si="2"/>
        <v>-1944.2400000000016</v>
      </c>
      <c r="J24" s="126"/>
      <c r="K24" s="126"/>
      <c r="M24" s="6"/>
      <c r="N24" s="234"/>
      <c r="O24" s="234"/>
      <c r="P24" s="234"/>
      <c r="Q24" s="234"/>
    </row>
    <row r="25" spans="2:17" ht="63.75">
      <c r="B25" s="127" t="s">
        <v>152</v>
      </c>
      <c r="C25" s="59" t="s">
        <v>148</v>
      </c>
      <c r="D25" s="52" t="s">
        <v>145</v>
      </c>
      <c r="E25" s="41">
        <v>0.71</v>
      </c>
      <c r="F25" s="159">
        <v>1.44</v>
      </c>
      <c r="G25" s="55">
        <f t="shared" si="0"/>
        <v>8288.9173103222965</v>
      </c>
      <c r="H25" s="56">
        <f>($P$15/$P$16*E25)+($Q$15/$Q$16*F25)</f>
        <v>8254.8364949103343</v>
      </c>
      <c r="I25" s="57">
        <f t="shared" si="2"/>
        <v>-34.080815411962249</v>
      </c>
      <c r="J25" s="126"/>
      <c r="K25" s="126"/>
      <c r="L25" s="163"/>
      <c r="M25" s="6"/>
      <c r="N25" s="234"/>
      <c r="O25" s="234"/>
      <c r="P25" s="234"/>
      <c r="Q25" s="234"/>
    </row>
    <row r="26" spans="2:17" ht="63.75">
      <c r="B26" s="127" t="s">
        <v>126</v>
      </c>
      <c r="C26" s="59" t="s">
        <v>148</v>
      </c>
      <c r="D26" s="52" t="s">
        <v>145</v>
      </c>
      <c r="E26" s="41">
        <v>0.25</v>
      </c>
      <c r="F26" s="159">
        <v>0.83</v>
      </c>
      <c r="G26" s="55">
        <f t="shared" si="0"/>
        <v>4159.8881683057507</v>
      </c>
      <c r="H26" s="56">
        <f t="shared" ref="H26:H27" si="4">($P$15/$P$16*E26)+($Q$15/$Q$16*F26)</f>
        <v>4145.9324700856205</v>
      </c>
      <c r="I26" s="57">
        <f t="shared" si="2"/>
        <v>-13.955698220130216</v>
      </c>
      <c r="J26" s="126"/>
      <c r="K26" s="126"/>
      <c r="L26" s="64"/>
      <c r="M26" s="6"/>
      <c r="N26" s="238"/>
      <c r="O26" s="238"/>
      <c r="P26" s="234"/>
      <c r="Q26" s="234"/>
    </row>
    <row r="27" spans="2:17">
      <c r="B27" s="62" t="s">
        <v>127</v>
      </c>
      <c r="C27" s="129" t="s">
        <v>148</v>
      </c>
      <c r="D27" s="52" t="s">
        <v>145</v>
      </c>
      <c r="E27" s="41">
        <f>0.97+0.03</f>
        <v>1</v>
      </c>
      <c r="F27" s="159">
        <v>0.91</v>
      </c>
      <c r="G27" s="55">
        <f t="shared" si="0"/>
        <v>7376.9623316670259</v>
      </c>
      <c r="H27" s="56">
        <f t="shared" si="4"/>
        <v>7335.7313570977003</v>
      </c>
      <c r="I27" s="57">
        <f t="shared" si="2"/>
        <v>-41.230974569325554</v>
      </c>
      <c r="J27" s="126"/>
      <c r="K27" s="126"/>
      <c r="N27" s="234"/>
      <c r="O27" s="234"/>
      <c r="P27" s="234"/>
      <c r="Q27" s="234"/>
    </row>
    <row r="28" spans="2:17" ht="16.5" thickBot="1">
      <c r="B28" s="33" t="s">
        <v>128</v>
      </c>
      <c r="C28" s="130"/>
      <c r="D28" s="130"/>
      <c r="E28" s="34">
        <f>SUM(E16:E27)</f>
        <v>14.900000000000002</v>
      </c>
      <c r="F28" s="131">
        <f>SUM(F16:F27)</f>
        <v>16.09</v>
      </c>
      <c r="G28" s="132">
        <f>SUM(G16:G27)</f>
        <v>118876.91</v>
      </c>
      <c r="H28" s="133">
        <f>SUM(H16:H27)</f>
        <v>116751.107</v>
      </c>
      <c r="I28" s="134">
        <f>H28-G28</f>
        <v>-2125.8029999999999</v>
      </c>
      <c r="J28" s="135"/>
      <c r="K28" s="135"/>
      <c r="N28" s="234"/>
      <c r="O28" s="234"/>
      <c r="P28" s="234"/>
      <c r="Q28" s="234"/>
    </row>
    <row r="29" spans="2:17">
      <c r="B29" s="6"/>
      <c r="C29" s="6"/>
      <c r="D29" s="6"/>
      <c r="E29" s="29"/>
      <c r="F29" s="29"/>
      <c r="G29" s="29"/>
      <c r="H29" s="29"/>
      <c r="I29" s="2"/>
      <c r="J29" s="2"/>
      <c r="K29" s="2"/>
      <c r="N29" s="234"/>
      <c r="O29" s="234"/>
      <c r="P29" s="234"/>
      <c r="Q29" s="234"/>
    </row>
    <row r="30" spans="2:17" ht="16.5" thickBot="1">
      <c r="B30" s="207" t="s">
        <v>153</v>
      </c>
      <c r="C30" s="207"/>
      <c r="D30" s="207"/>
      <c r="E30" s="207"/>
      <c r="F30" s="207"/>
      <c r="G30" s="207"/>
      <c r="H30" s="207"/>
      <c r="I30" s="207"/>
      <c r="J30" s="156"/>
      <c r="K30" s="156"/>
      <c r="N30" s="234"/>
      <c r="O30" s="234"/>
      <c r="P30" s="234"/>
      <c r="Q30" s="234"/>
    </row>
    <row r="31" spans="2:17" ht="44.25" customHeight="1">
      <c r="B31" s="20"/>
      <c r="C31" s="65"/>
      <c r="D31" s="208" t="s">
        <v>154</v>
      </c>
      <c r="E31" s="209"/>
      <c r="F31" s="210" t="s">
        <v>10</v>
      </c>
      <c r="G31" s="211"/>
      <c r="H31" s="210" t="s">
        <v>11</v>
      </c>
      <c r="I31" s="212"/>
      <c r="J31" s="163"/>
      <c r="K31" s="163"/>
      <c r="L31" s="24"/>
      <c r="M31" s="9"/>
      <c r="N31" s="238"/>
      <c r="O31" s="238"/>
      <c r="P31" s="238"/>
      <c r="Q31" s="238"/>
    </row>
    <row r="32" spans="2:17">
      <c r="B32" s="21" t="s">
        <v>12</v>
      </c>
      <c r="C32" s="67"/>
      <c r="D32" s="203">
        <f>F32+H32</f>
        <v>118876.91</v>
      </c>
      <c r="E32" s="204"/>
      <c r="F32" s="203">
        <f>36505.81+40509.42+14317.44</f>
        <v>91332.67</v>
      </c>
      <c r="G32" s="204"/>
      <c r="H32" s="203">
        <f>G24</f>
        <v>27544.240000000002</v>
      </c>
      <c r="I32" s="213"/>
      <c r="J32" s="162"/>
      <c r="K32" s="162"/>
      <c r="L32" s="10"/>
      <c r="M32" s="10"/>
      <c r="N32" s="234"/>
      <c r="O32" s="234"/>
      <c r="P32" s="234"/>
      <c r="Q32" s="234"/>
    </row>
    <row r="33" spans="2:17">
      <c r="B33" s="21" t="s">
        <v>13</v>
      </c>
      <c r="C33" s="67"/>
      <c r="D33" s="203">
        <f>F33+H33</f>
        <v>114248.84</v>
      </c>
      <c r="E33" s="204"/>
      <c r="F33" s="203">
        <f>35324.09+39198.11+13074.03</f>
        <v>87596.23</v>
      </c>
      <c r="G33" s="204"/>
      <c r="H33" s="203">
        <v>26652.61</v>
      </c>
      <c r="I33" s="213"/>
      <c r="J33" s="162"/>
      <c r="K33" s="162"/>
      <c r="L33" s="25"/>
      <c r="M33" s="10"/>
      <c r="N33" s="234"/>
      <c r="O33" s="234"/>
      <c r="P33" s="234"/>
      <c r="Q33" s="234"/>
    </row>
    <row r="34" spans="2:17" ht="16.5" thickBot="1">
      <c r="B34" s="22" t="s">
        <v>114</v>
      </c>
      <c r="C34" s="69"/>
      <c r="D34" s="205">
        <f>F34+H34</f>
        <v>116751.107</v>
      </c>
      <c r="E34" s="206"/>
      <c r="F34" s="205">
        <f>H16+H17+H18+H19+H20+H21+H22+H23+H25+H26+H27</f>
        <v>91151.107000000004</v>
      </c>
      <c r="G34" s="206"/>
      <c r="H34" s="205">
        <f>H24</f>
        <v>25600</v>
      </c>
      <c r="I34" s="214"/>
      <c r="J34" s="162"/>
      <c r="K34" s="162"/>
      <c r="L34" s="10"/>
      <c r="M34" s="10"/>
      <c r="N34" s="234"/>
      <c r="O34" s="234"/>
      <c r="P34" s="234"/>
      <c r="Q34" s="234"/>
    </row>
    <row r="35" spans="2:17" ht="27" thickBot="1">
      <c r="B35" s="23" t="s">
        <v>115</v>
      </c>
      <c r="C35" s="72"/>
      <c r="D35" s="184">
        <f>F35+H35</f>
        <v>-2502.2670000000071</v>
      </c>
      <c r="E35" s="185"/>
      <c r="F35" s="182">
        <f>F33-F34</f>
        <v>-3554.8770000000077</v>
      </c>
      <c r="G35" s="183"/>
      <c r="H35" s="182">
        <f>H33-H34</f>
        <v>1052.6100000000006</v>
      </c>
      <c r="I35" s="202"/>
      <c r="J35" s="162"/>
      <c r="K35" s="162"/>
      <c r="L35" s="10"/>
      <c r="M35" s="10"/>
      <c r="N35" s="234"/>
      <c r="O35" s="234"/>
      <c r="P35" s="234"/>
      <c r="Q35" s="234"/>
    </row>
    <row r="36" spans="2:17" ht="34.5" customHeight="1">
      <c r="B36" s="157" t="s">
        <v>116</v>
      </c>
      <c r="C36" s="157"/>
      <c r="D36" s="136"/>
      <c r="E36" s="180" t="s">
        <v>117</v>
      </c>
      <c r="F36" s="180"/>
      <c r="G36" s="178" t="s">
        <v>14</v>
      </c>
      <c r="H36" s="178"/>
      <c r="I36" s="157"/>
      <c r="J36" s="157"/>
      <c r="K36" s="157"/>
      <c r="L36" s="8"/>
      <c r="M36" s="8"/>
      <c r="N36" s="237"/>
      <c r="O36" s="237"/>
      <c r="P36" s="237"/>
      <c r="Q36" s="237"/>
    </row>
    <row r="37" spans="2:17" ht="11.25" customHeight="1">
      <c r="B37" s="157"/>
      <c r="C37" s="157"/>
      <c r="D37" s="157"/>
      <c r="E37" s="179" t="s">
        <v>15</v>
      </c>
      <c r="F37" s="179"/>
      <c r="G37" s="181"/>
      <c r="H37" s="181"/>
      <c r="I37" s="158"/>
      <c r="J37" s="158"/>
      <c r="K37" s="158"/>
      <c r="L37" s="8"/>
      <c r="M37" s="8"/>
      <c r="N37" s="237"/>
      <c r="O37" s="237"/>
      <c r="P37" s="237"/>
      <c r="Q37" s="237"/>
    </row>
    <row r="38" spans="2:17">
      <c r="B38" s="157" t="s">
        <v>118</v>
      </c>
      <c r="C38" s="157"/>
      <c r="D38" s="157"/>
      <c r="E38" s="177" t="s">
        <v>117</v>
      </c>
      <c r="F38" s="177"/>
      <c r="G38" s="178" t="s">
        <v>131</v>
      </c>
      <c r="H38" s="178"/>
      <c r="I38" s="157"/>
      <c r="J38" s="157"/>
      <c r="K38" s="157"/>
      <c r="L38" s="8"/>
      <c r="M38" s="8"/>
      <c r="N38" s="237"/>
      <c r="O38" s="237"/>
      <c r="P38" s="237"/>
      <c r="Q38" s="237"/>
    </row>
    <row r="39" spans="2:17" ht="9.75" customHeight="1">
      <c r="B39" s="157"/>
      <c r="C39" s="157"/>
      <c r="D39" s="157"/>
      <c r="E39" s="179" t="s">
        <v>15</v>
      </c>
      <c r="F39" s="179"/>
      <c r="G39" s="178"/>
      <c r="H39" s="178"/>
      <c r="I39" s="157"/>
      <c r="J39" s="157"/>
      <c r="K39" s="157"/>
      <c r="N39" s="234"/>
      <c r="O39" s="234"/>
      <c r="P39" s="234"/>
      <c r="Q39" s="234"/>
    </row>
    <row r="40" spans="2:17">
      <c r="B40" s="157" t="s">
        <v>119</v>
      </c>
      <c r="C40" s="157"/>
      <c r="D40" s="157"/>
      <c r="E40" s="177" t="s">
        <v>117</v>
      </c>
      <c r="F40" s="177"/>
      <c r="G40" s="178" t="s">
        <v>157</v>
      </c>
      <c r="H40" s="178"/>
      <c r="I40" s="157"/>
      <c r="J40" s="157"/>
      <c r="K40" s="157"/>
      <c r="N40" s="234"/>
      <c r="O40" s="234"/>
      <c r="P40" s="234"/>
      <c r="Q40" s="234"/>
    </row>
    <row r="41" spans="2:17" ht="8.25" customHeight="1">
      <c r="B41" s="27"/>
      <c r="C41" s="27"/>
      <c r="D41" s="27"/>
      <c r="E41" s="179" t="s">
        <v>15</v>
      </c>
      <c r="F41" s="179"/>
      <c r="G41" s="160"/>
      <c r="H41" s="137"/>
      <c r="I41" s="161"/>
      <c r="J41" s="161"/>
      <c r="K41" s="161"/>
      <c r="N41" s="234"/>
      <c r="O41" s="234"/>
      <c r="P41" s="234"/>
      <c r="Q41" s="234"/>
    </row>
    <row r="42" spans="2:17">
      <c r="B42" s="157" t="s">
        <v>120</v>
      </c>
      <c r="C42" s="157"/>
      <c r="D42" s="157"/>
      <c r="E42" s="177" t="s">
        <v>117</v>
      </c>
      <c r="F42" s="177"/>
      <c r="G42" s="178" t="s">
        <v>93</v>
      </c>
      <c r="H42" s="178"/>
    </row>
    <row r="43" spans="2:17" ht="9" customHeight="1">
      <c r="B43" s="138"/>
      <c r="C43" s="138"/>
      <c r="D43" s="138"/>
      <c r="E43" s="179" t="s">
        <v>15</v>
      </c>
      <c r="F43" s="179"/>
      <c r="G43" s="179"/>
      <c r="H43" s="179"/>
    </row>
  </sheetData>
  <mergeCells count="42">
    <mergeCell ref="E39:F39"/>
    <mergeCell ref="G39:H39"/>
    <mergeCell ref="E36:F36"/>
    <mergeCell ref="G36:H36"/>
    <mergeCell ref="G37:H37"/>
    <mergeCell ref="E38:F38"/>
    <mergeCell ref="G38:H38"/>
    <mergeCell ref="D34:E34"/>
    <mergeCell ref="F34:G34"/>
    <mergeCell ref="H34:I34"/>
    <mergeCell ref="D35:E35"/>
    <mergeCell ref="F35:G35"/>
    <mergeCell ref="H35:I35"/>
    <mergeCell ref="F32:G32"/>
    <mergeCell ref="H32:I32"/>
    <mergeCell ref="D33:E33"/>
    <mergeCell ref="F33:G33"/>
    <mergeCell ref="H33:I33"/>
    <mergeCell ref="B13:I13"/>
    <mergeCell ref="B14:B15"/>
    <mergeCell ref="C14:C15"/>
    <mergeCell ref="D14:D15"/>
    <mergeCell ref="E14:E15"/>
    <mergeCell ref="F14:F15"/>
    <mergeCell ref="G14:H14"/>
    <mergeCell ref="I14:I15"/>
    <mergeCell ref="E43:F43"/>
    <mergeCell ref="G43:H43"/>
    <mergeCell ref="E37:F37"/>
    <mergeCell ref="B2:I3"/>
    <mergeCell ref="D5:F5"/>
    <mergeCell ref="D12:E12"/>
    <mergeCell ref="E40:F40"/>
    <mergeCell ref="G40:H40"/>
    <mergeCell ref="E41:F41"/>
    <mergeCell ref="E42:F42"/>
    <mergeCell ref="G42:H42"/>
    <mergeCell ref="B30:I30"/>
    <mergeCell ref="D31:E31"/>
    <mergeCell ref="F31:G31"/>
    <mergeCell ref="H31:I31"/>
    <mergeCell ref="D32:E32"/>
  </mergeCells>
  <printOptions horizontalCentered="1"/>
  <pageMargins left="0.19685039370078741" right="0.19685039370078741" top="0.15748031496062992" bottom="0.23622047244094491" header="0.31496062992125984" footer="0.31496062992125984"/>
  <pageSetup paperSize="9" scale="42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B1:S43"/>
  <sheetViews>
    <sheetView zoomScale="110" zoomScaleNormal="110" workbookViewId="0">
      <selection activeCell="B1" sqref="B1:I1"/>
    </sheetView>
  </sheetViews>
  <sheetFormatPr defaultColWidth="9.140625" defaultRowHeight="15.75" outlineLevelRow="1"/>
  <cols>
    <col min="1" max="1" width="2.85546875" style="1" customWidth="1"/>
    <col min="2" max="2" width="53.5703125" style="1" customWidth="1"/>
    <col min="3" max="3" width="12.7109375" style="38" customWidth="1"/>
    <col min="4" max="4" width="8.7109375" style="2" customWidth="1"/>
    <col min="5" max="5" width="10.7109375" style="2" customWidth="1"/>
    <col min="6" max="6" width="11" style="2" customWidth="1"/>
    <col min="7" max="7" width="9.42578125" style="1" customWidth="1"/>
    <col min="8" max="8" width="10.28515625" style="1" customWidth="1"/>
    <col min="9" max="9" width="11.42578125" style="1" customWidth="1"/>
    <col min="10" max="10" width="12.28515625" style="1" customWidth="1"/>
    <col min="11" max="13" width="9.140625" style="1"/>
    <col min="14" max="14" width="14.85546875" style="232" customWidth="1"/>
    <col min="15" max="15" width="13.42578125" style="232" customWidth="1"/>
    <col min="16" max="16" width="14.140625" style="232" customWidth="1"/>
    <col min="17" max="17" width="15.42578125" style="232" customWidth="1"/>
    <col min="18" max="19" width="9.140625" style="232"/>
    <col min="20" max="16384" width="9.140625" style="1"/>
  </cols>
  <sheetData>
    <row r="1" spans="2:18">
      <c r="B1" s="137"/>
      <c r="C1" s="137"/>
      <c r="D1" s="137"/>
      <c r="E1" s="137"/>
      <c r="F1" s="137"/>
      <c r="G1" s="137"/>
      <c r="H1" s="137"/>
      <c r="I1" s="137"/>
    </row>
    <row r="2" spans="2:18" ht="19.5" customHeight="1">
      <c r="B2" s="186" t="s">
        <v>161</v>
      </c>
      <c r="C2" s="186"/>
      <c r="D2" s="186"/>
      <c r="E2" s="186"/>
      <c r="F2" s="186"/>
      <c r="G2" s="186"/>
      <c r="H2" s="186"/>
      <c r="I2" s="186"/>
    </row>
    <row r="3" spans="2:18" ht="20.25" customHeight="1">
      <c r="B3" s="186"/>
      <c r="C3" s="186"/>
      <c r="D3" s="186"/>
      <c r="E3" s="186"/>
      <c r="F3" s="186"/>
      <c r="G3" s="186"/>
      <c r="H3" s="186"/>
      <c r="I3" s="186"/>
    </row>
    <row r="4" spans="2:18" ht="18" customHeight="1"/>
    <row r="5" spans="2:18">
      <c r="B5" s="1" t="s">
        <v>0</v>
      </c>
      <c r="D5" s="200" t="s">
        <v>52</v>
      </c>
      <c r="E5" s="200"/>
      <c r="F5" s="200"/>
    </row>
    <row r="6" spans="2:18">
      <c r="B6" s="1" t="s">
        <v>1</v>
      </c>
      <c r="D6" s="13">
        <v>1955</v>
      </c>
      <c r="E6" s="13"/>
      <c r="F6" s="13"/>
    </row>
    <row r="7" spans="2:18" hidden="1" outlineLevel="1">
      <c r="B7" s="1" t="s">
        <v>2</v>
      </c>
      <c r="D7" s="13">
        <v>2</v>
      </c>
      <c r="E7" s="13"/>
      <c r="F7" s="13"/>
    </row>
    <row r="8" spans="2:18" hidden="1" outlineLevel="1">
      <c r="B8" s="1" t="s">
        <v>3</v>
      </c>
      <c r="D8" s="13">
        <v>8</v>
      </c>
      <c r="E8" s="13"/>
      <c r="F8" s="13"/>
    </row>
    <row r="9" spans="2:18" ht="30.75" hidden="1" customHeight="1" outlineLevel="1">
      <c r="B9" s="4" t="s">
        <v>4</v>
      </c>
      <c r="C9" s="39"/>
      <c r="D9" s="13" t="s">
        <v>53</v>
      </c>
      <c r="E9" s="13"/>
      <c r="F9" s="13"/>
    </row>
    <row r="10" spans="2:18" collapsed="1">
      <c r="B10" s="1" t="s">
        <v>5</v>
      </c>
      <c r="D10" s="17" t="s">
        <v>107</v>
      </c>
      <c r="E10" s="13"/>
      <c r="F10" s="13"/>
      <c r="J10" s="6"/>
    </row>
    <row r="11" spans="2:18" hidden="1" outlineLevel="1">
      <c r="B11" s="1" t="s">
        <v>6</v>
      </c>
      <c r="D11" s="13" t="s">
        <v>7</v>
      </c>
      <c r="E11" s="13"/>
      <c r="F11" s="13"/>
    </row>
    <row r="12" spans="2:18" ht="30.75" hidden="1" customHeight="1" outlineLevel="1">
      <c r="B12" s="4" t="s">
        <v>8</v>
      </c>
      <c r="C12" s="39"/>
      <c r="D12" s="201" t="s">
        <v>54</v>
      </c>
      <c r="E12" s="201"/>
      <c r="F12" s="13"/>
      <c r="J12" s="6"/>
    </row>
    <row r="13" spans="2:18" ht="31.5" customHeight="1" collapsed="1" thickBot="1">
      <c r="B13" s="187" t="s">
        <v>132</v>
      </c>
      <c r="C13" s="187"/>
      <c r="D13" s="187"/>
      <c r="E13" s="187"/>
      <c r="F13" s="187"/>
      <c r="G13" s="187"/>
      <c r="H13" s="187"/>
      <c r="I13" s="187"/>
      <c r="J13" s="124"/>
      <c r="K13" s="124"/>
      <c r="M13" s="6"/>
      <c r="N13" s="233" t="s">
        <v>133</v>
      </c>
      <c r="O13" s="233" t="s">
        <v>134</v>
      </c>
      <c r="P13" s="233" t="s">
        <v>135</v>
      </c>
      <c r="Q13" s="233" t="s">
        <v>136</v>
      </c>
    </row>
    <row r="14" spans="2:18" ht="27.75" customHeight="1">
      <c r="B14" s="188" t="s">
        <v>137</v>
      </c>
      <c r="C14" s="190" t="s">
        <v>138</v>
      </c>
      <c r="D14" s="190" t="s">
        <v>139</v>
      </c>
      <c r="E14" s="192" t="s">
        <v>140</v>
      </c>
      <c r="F14" s="194" t="s">
        <v>141</v>
      </c>
      <c r="G14" s="196" t="s">
        <v>142</v>
      </c>
      <c r="H14" s="197"/>
      <c r="I14" s="198" t="s">
        <v>163</v>
      </c>
      <c r="J14" s="125"/>
      <c r="K14" s="125"/>
      <c r="M14" s="6"/>
      <c r="N14" s="233"/>
      <c r="O14" s="233"/>
      <c r="P14" s="233"/>
      <c r="Q14" s="233"/>
    </row>
    <row r="15" spans="2:18" ht="45" customHeight="1" thickBot="1">
      <c r="B15" s="189"/>
      <c r="C15" s="191"/>
      <c r="D15" s="191"/>
      <c r="E15" s="193"/>
      <c r="F15" s="195"/>
      <c r="G15" s="48" t="s">
        <v>121</v>
      </c>
      <c r="H15" s="49" t="s">
        <v>122</v>
      </c>
      <c r="I15" s="199"/>
      <c r="J15" s="125"/>
      <c r="K15" s="125"/>
      <c r="N15" s="234">
        <v>20653.16</v>
      </c>
      <c r="O15" s="234">
        <v>23203.59</v>
      </c>
      <c r="P15" s="234">
        <f>20018.99*1.03</f>
        <v>20619.559700000002</v>
      </c>
      <c r="Q15" s="234">
        <f>22385.61*1.03</f>
        <v>23057.1783</v>
      </c>
      <c r="R15" s="232">
        <f>(N15+O15)/(P15+Q15)*100</f>
        <v>100.41214616347953</v>
      </c>
    </row>
    <row r="16" spans="2:18" ht="50.25" customHeight="1">
      <c r="B16" s="110" t="s">
        <v>143</v>
      </c>
      <c r="C16" s="51" t="s">
        <v>144</v>
      </c>
      <c r="D16" s="52" t="s">
        <v>145</v>
      </c>
      <c r="E16" s="53">
        <v>1.01</v>
      </c>
      <c r="F16" s="54">
        <v>1.05</v>
      </c>
      <c r="G16" s="55">
        <f>($N$15/$N$16*E16)+($O$15/$O$16*F16)</f>
        <v>5056.8046395648616</v>
      </c>
      <c r="H16" s="56">
        <f>($P$15/$P$16*E16)+($Q$15/$Q$16*F16)</f>
        <v>5036.5677772879335</v>
      </c>
      <c r="I16" s="57">
        <f>H16-G16</f>
        <v>-20.23686227692815</v>
      </c>
      <c r="J16" s="126"/>
      <c r="K16" s="126"/>
      <c r="L16" s="7"/>
      <c r="M16" s="58"/>
      <c r="N16" s="235">
        <f>14.92-4.61-1.94</f>
        <v>8.3699999999999992</v>
      </c>
      <c r="O16" s="234">
        <f>16.11-2-4.61</f>
        <v>9.5</v>
      </c>
      <c r="P16" s="235">
        <v>8.3699999999999992</v>
      </c>
      <c r="Q16" s="234">
        <v>9.5</v>
      </c>
    </row>
    <row r="17" spans="2:17" ht="51">
      <c r="B17" s="127" t="s">
        <v>129</v>
      </c>
      <c r="C17" s="51" t="s">
        <v>144</v>
      </c>
      <c r="D17" s="52" t="s">
        <v>145</v>
      </c>
      <c r="E17" s="41">
        <v>1.1299999999999999</v>
      </c>
      <c r="F17" s="159">
        <v>1.17</v>
      </c>
      <c r="G17" s="55">
        <f t="shared" ref="G17:G27" si="0">($N$15/$N$16*E17)+($O$15/$O$16*F17)</f>
        <v>5646.0052708419789</v>
      </c>
      <c r="H17" s="56">
        <f t="shared" ref="H17:H21" si="1">($P$15/$P$16*E17)+($Q$15/$Q$16*F17)</f>
        <v>5623.4372728864992</v>
      </c>
      <c r="I17" s="57">
        <f t="shared" ref="I17:I27" si="2">H17-G17</f>
        <v>-22.567997955479768</v>
      </c>
      <c r="J17" s="126"/>
      <c r="K17" s="126"/>
      <c r="L17" s="8"/>
      <c r="M17" s="8"/>
      <c r="N17" s="236"/>
      <c r="O17" s="237"/>
      <c r="P17" s="237"/>
      <c r="Q17" s="237"/>
    </row>
    <row r="18" spans="2:17" ht="52.5" customHeight="1">
      <c r="B18" s="62" t="s">
        <v>123</v>
      </c>
      <c r="C18" s="51" t="s">
        <v>144</v>
      </c>
      <c r="D18" s="52" t="s">
        <v>145</v>
      </c>
      <c r="E18" s="41">
        <v>0.28000000000000003</v>
      </c>
      <c r="F18" s="159">
        <v>0.27</v>
      </c>
      <c r="G18" s="55">
        <f t="shared" si="0"/>
        <v>1350.3766414009938</v>
      </c>
      <c r="H18" s="56">
        <f t="shared" si="1"/>
        <v>1345.0914423966549</v>
      </c>
      <c r="I18" s="57">
        <f t="shared" si="2"/>
        <v>-5.2851990043388923</v>
      </c>
      <c r="J18" s="126"/>
      <c r="K18" s="126"/>
      <c r="M18" s="6"/>
      <c r="N18" s="234"/>
      <c r="O18" s="234"/>
      <c r="P18" s="234"/>
      <c r="Q18" s="234"/>
    </row>
    <row r="19" spans="2:17" ht="25.5">
      <c r="B19" s="62" t="s">
        <v>146</v>
      </c>
      <c r="C19" s="59" t="s">
        <v>147</v>
      </c>
      <c r="D19" s="52" t="s">
        <v>145</v>
      </c>
      <c r="E19" s="41">
        <v>0</v>
      </c>
      <c r="F19" s="159">
        <v>0</v>
      </c>
      <c r="G19" s="55">
        <f t="shared" si="0"/>
        <v>0</v>
      </c>
      <c r="H19" s="56">
        <f t="shared" si="1"/>
        <v>0</v>
      </c>
      <c r="I19" s="57">
        <f t="shared" si="2"/>
        <v>0</v>
      </c>
      <c r="J19" s="126"/>
      <c r="K19" s="126"/>
      <c r="M19" s="6"/>
      <c r="N19" s="234"/>
      <c r="O19" s="234"/>
      <c r="P19" s="234"/>
      <c r="Q19" s="234"/>
    </row>
    <row r="20" spans="2:17" ht="51">
      <c r="B20" s="127" t="s">
        <v>124</v>
      </c>
      <c r="C20" s="51" t="s">
        <v>144</v>
      </c>
      <c r="D20" s="52" t="s">
        <v>145</v>
      </c>
      <c r="E20" s="41">
        <v>1.1399999999999999</v>
      </c>
      <c r="F20" s="159">
        <v>1.33</v>
      </c>
      <c r="G20" s="55">
        <f t="shared" si="0"/>
        <v>6061.4777971326166</v>
      </c>
      <c r="H20" s="56">
        <f t="shared" si="1"/>
        <v>6036.4037741863804</v>
      </c>
      <c r="I20" s="57">
        <f t="shared" si="2"/>
        <v>-25.074022946236255</v>
      </c>
      <c r="J20" s="126"/>
      <c r="K20" s="126"/>
      <c r="N20" s="234"/>
      <c r="O20" s="234"/>
      <c r="P20" s="234"/>
      <c r="Q20" s="234"/>
    </row>
    <row r="21" spans="2:17" ht="145.5" customHeight="1">
      <c r="B21" s="127" t="s">
        <v>125</v>
      </c>
      <c r="C21" s="51" t="s">
        <v>148</v>
      </c>
      <c r="D21" s="52" t="s">
        <v>145</v>
      </c>
      <c r="E21" s="41">
        <v>3.6</v>
      </c>
      <c r="F21" s="159">
        <v>3.07</v>
      </c>
      <c r="G21" s="55">
        <f t="shared" si="0"/>
        <v>16381.502864629316</v>
      </c>
      <c r="H21" s="56">
        <f t="shared" si="1"/>
        <v>16319.737025956991</v>
      </c>
      <c r="I21" s="57">
        <f t="shared" si="2"/>
        <v>-61.765838672325117</v>
      </c>
      <c r="J21" s="126"/>
      <c r="K21" s="126"/>
      <c r="L21" s="8"/>
      <c r="M21" s="60"/>
      <c r="N21" s="237"/>
      <c r="O21" s="237"/>
      <c r="P21" s="237"/>
      <c r="Q21" s="237"/>
    </row>
    <row r="22" spans="2:17" ht="27.75" customHeight="1">
      <c r="B22" s="62" t="s">
        <v>149</v>
      </c>
      <c r="C22" s="51" t="s">
        <v>147</v>
      </c>
      <c r="D22" s="52" t="s">
        <v>145</v>
      </c>
      <c r="E22" s="41">
        <v>1.94</v>
      </c>
      <c r="F22" s="159">
        <v>2</v>
      </c>
      <c r="G22" s="55">
        <v>9113.0400000000009</v>
      </c>
      <c r="H22" s="40">
        <v>9251.99</v>
      </c>
      <c r="I22" s="57">
        <f t="shared" si="2"/>
        <v>138.94999999999891</v>
      </c>
      <c r="J22" s="126"/>
      <c r="K22" s="126"/>
      <c r="N22" s="234"/>
      <c r="O22" s="234"/>
      <c r="P22" s="234"/>
      <c r="Q22" s="234"/>
    </row>
    <row r="23" spans="2:17" ht="108.75" customHeight="1">
      <c r="B23" s="127" t="s">
        <v>150</v>
      </c>
      <c r="C23" s="51" t="s">
        <v>144</v>
      </c>
      <c r="D23" s="52" t="s">
        <v>145</v>
      </c>
      <c r="E23" s="41">
        <v>0.22</v>
      </c>
      <c r="F23" s="159">
        <v>0.21</v>
      </c>
      <c r="G23" s="55">
        <f t="shared" si="0"/>
        <v>1055.7763257624347</v>
      </c>
      <c r="H23" s="56">
        <f t="shared" ref="H23" si="3">($P$15/$P$16*E23)+($Q$15/$Q$16*F23)</f>
        <v>1051.6566945973718</v>
      </c>
      <c r="I23" s="57">
        <f t="shared" si="2"/>
        <v>-4.1196311650628559</v>
      </c>
      <c r="J23" s="126"/>
      <c r="K23" s="126"/>
      <c r="N23" s="234"/>
      <c r="O23" s="234"/>
      <c r="P23" s="234"/>
      <c r="Q23" s="234"/>
    </row>
    <row r="24" spans="2:17" ht="48">
      <c r="B24" s="62" t="s">
        <v>151</v>
      </c>
      <c r="C24" s="51" t="s">
        <v>144</v>
      </c>
      <c r="D24" s="52" t="s">
        <v>145</v>
      </c>
      <c r="E24" s="41">
        <v>4.6100000000000003</v>
      </c>
      <c r="F24" s="159">
        <v>4.6100000000000003</v>
      </c>
      <c r="G24" s="55">
        <v>22750.55</v>
      </c>
      <c r="H24" s="128">
        <v>97819</v>
      </c>
      <c r="I24" s="57">
        <f t="shared" si="2"/>
        <v>75068.45</v>
      </c>
      <c r="J24" s="126"/>
      <c r="K24" s="126"/>
      <c r="M24" s="6"/>
      <c r="N24" s="234"/>
      <c r="O24" s="234"/>
      <c r="P24" s="234"/>
      <c r="Q24" s="234"/>
    </row>
    <row r="25" spans="2:17" ht="63.75">
      <c r="B25" s="127" t="s">
        <v>152</v>
      </c>
      <c r="C25" s="59" t="s">
        <v>148</v>
      </c>
      <c r="D25" s="52" t="s">
        <v>145</v>
      </c>
      <c r="E25" s="41">
        <v>0.71</v>
      </c>
      <c r="F25" s="159">
        <v>1.44</v>
      </c>
      <c r="G25" s="55">
        <f t="shared" si="0"/>
        <v>5269.1164403194362</v>
      </c>
      <c r="H25" s="56">
        <f>($P$15/$P$16*E25)+($Q$15/$Q$16*F25)</f>
        <v>5244.0733042915172</v>
      </c>
      <c r="I25" s="57">
        <f t="shared" si="2"/>
        <v>-25.04313602791899</v>
      </c>
      <c r="J25" s="126"/>
      <c r="K25" s="126"/>
      <c r="L25" s="163"/>
      <c r="M25" s="6"/>
      <c r="N25" s="234"/>
      <c r="O25" s="234"/>
      <c r="P25" s="234"/>
      <c r="Q25" s="234"/>
    </row>
    <row r="26" spans="2:17" ht="63.75">
      <c r="B26" s="127" t="s">
        <v>126</v>
      </c>
      <c r="C26" s="59" t="s">
        <v>148</v>
      </c>
      <c r="D26" s="52" t="s">
        <v>145</v>
      </c>
      <c r="E26" s="41">
        <v>0.25</v>
      </c>
      <c r="F26" s="159">
        <v>0.83</v>
      </c>
      <c r="G26" s="55">
        <f t="shared" si="0"/>
        <v>2644.1415467396091</v>
      </c>
      <c r="H26" s="56">
        <f t="shared" ref="H26:H27" si="4">($P$15/$P$16*E26)+($Q$15/$Q$16*F26)</f>
        <v>2630.3461944970131</v>
      </c>
      <c r="I26" s="57">
        <f t="shared" si="2"/>
        <v>-13.795352242595982</v>
      </c>
      <c r="J26" s="126"/>
      <c r="K26" s="126"/>
      <c r="L26" s="64"/>
      <c r="M26" s="6"/>
      <c r="N26" s="238"/>
      <c r="O26" s="238"/>
      <c r="P26" s="234"/>
      <c r="Q26" s="234"/>
    </row>
    <row r="27" spans="2:17">
      <c r="B27" s="62" t="s">
        <v>127</v>
      </c>
      <c r="C27" s="129" t="s">
        <v>148</v>
      </c>
      <c r="D27" s="52" t="s">
        <v>145</v>
      </c>
      <c r="E27" s="41">
        <v>0.03</v>
      </c>
      <c r="F27" s="159">
        <v>0.13</v>
      </c>
      <c r="G27" s="55">
        <f t="shared" si="0"/>
        <v>391.54847360875311</v>
      </c>
      <c r="H27" s="56">
        <f t="shared" si="4"/>
        <v>389.42451389964157</v>
      </c>
      <c r="I27" s="57">
        <f t="shared" si="2"/>
        <v>-2.1239597091115456</v>
      </c>
      <c r="J27" s="126"/>
      <c r="K27" s="126"/>
      <c r="N27" s="234"/>
      <c r="O27" s="234"/>
      <c r="P27" s="234"/>
      <c r="Q27" s="234"/>
    </row>
    <row r="28" spans="2:17" ht="16.5" thickBot="1">
      <c r="B28" s="33" t="s">
        <v>128</v>
      </c>
      <c r="C28" s="130"/>
      <c r="D28" s="130"/>
      <c r="E28" s="34">
        <f>SUM(E16:E27)</f>
        <v>14.92</v>
      </c>
      <c r="F28" s="131">
        <f>SUM(F16:F27)</f>
        <v>16.11</v>
      </c>
      <c r="G28" s="132">
        <f>SUM(G16:G27)</f>
        <v>75720.340000000011</v>
      </c>
      <c r="H28" s="133">
        <f>SUM(H16:H27)</f>
        <v>150747.728</v>
      </c>
      <c r="I28" s="134">
        <f>H28-G28</f>
        <v>75027.387999999992</v>
      </c>
      <c r="J28" s="135"/>
      <c r="K28" s="135"/>
      <c r="N28" s="234"/>
      <c r="O28" s="234"/>
      <c r="P28" s="234"/>
      <c r="Q28" s="234"/>
    </row>
    <row r="29" spans="2:17">
      <c r="B29" s="6"/>
      <c r="C29" s="6"/>
      <c r="D29" s="6"/>
      <c r="E29" s="29"/>
      <c r="F29" s="29"/>
      <c r="G29" s="29"/>
      <c r="H29" s="29"/>
      <c r="I29" s="2"/>
      <c r="J29" s="2"/>
      <c r="K29" s="2"/>
      <c r="N29" s="234"/>
      <c r="O29" s="234"/>
      <c r="P29" s="234"/>
      <c r="Q29" s="234"/>
    </row>
    <row r="30" spans="2:17" ht="16.5" thickBot="1">
      <c r="B30" s="207" t="s">
        <v>153</v>
      </c>
      <c r="C30" s="207"/>
      <c r="D30" s="207"/>
      <c r="E30" s="207"/>
      <c r="F30" s="207"/>
      <c r="G30" s="207"/>
      <c r="H30" s="207"/>
      <c r="I30" s="207"/>
      <c r="J30" s="156"/>
      <c r="K30" s="156"/>
      <c r="N30" s="234"/>
      <c r="O30" s="234"/>
      <c r="P30" s="234"/>
      <c r="Q30" s="234"/>
    </row>
    <row r="31" spans="2:17" ht="44.25" customHeight="1">
      <c r="B31" s="20"/>
      <c r="C31" s="65"/>
      <c r="D31" s="208" t="s">
        <v>154</v>
      </c>
      <c r="E31" s="209"/>
      <c r="F31" s="210" t="s">
        <v>10</v>
      </c>
      <c r="G31" s="211"/>
      <c r="H31" s="210" t="s">
        <v>11</v>
      </c>
      <c r="I31" s="212"/>
      <c r="J31" s="163"/>
      <c r="K31" s="163"/>
      <c r="L31" s="24"/>
      <c r="M31" s="9"/>
      <c r="N31" s="238"/>
      <c r="O31" s="238"/>
      <c r="P31" s="238"/>
      <c r="Q31" s="238"/>
    </row>
    <row r="32" spans="2:17">
      <c r="B32" s="21" t="s">
        <v>12</v>
      </c>
      <c r="C32" s="67"/>
      <c r="D32" s="203">
        <f>F32+H32</f>
        <v>75720.34</v>
      </c>
      <c r="E32" s="204"/>
      <c r="F32" s="203">
        <f>20653.16+23203.59+9113.04</f>
        <v>52969.79</v>
      </c>
      <c r="G32" s="204"/>
      <c r="H32" s="203">
        <f>G24</f>
        <v>22750.55</v>
      </c>
      <c r="I32" s="213"/>
      <c r="J32" s="162"/>
      <c r="K32" s="162"/>
      <c r="L32" s="10"/>
      <c r="M32" s="10"/>
      <c r="N32" s="234"/>
      <c r="O32" s="234"/>
      <c r="P32" s="234"/>
      <c r="Q32" s="234"/>
    </row>
    <row r="33" spans="2:17">
      <c r="B33" s="21" t="s">
        <v>13</v>
      </c>
      <c r="C33" s="67"/>
      <c r="D33" s="203">
        <f>F33+H33</f>
        <v>67842.509999999995</v>
      </c>
      <c r="E33" s="204"/>
      <c r="F33" s="203">
        <f>18791.03+21111.51+7240.65</f>
        <v>47143.189999999995</v>
      </c>
      <c r="G33" s="204"/>
      <c r="H33" s="203">
        <v>20699.32</v>
      </c>
      <c r="I33" s="213"/>
      <c r="J33" s="162"/>
      <c r="K33" s="162"/>
      <c r="L33" s="25"/>
      <c r="M33" s="10"/>
      <c r="N33" s="234"/>
      <c r="O33" s="234"/>
      <c r="P33" s="234"/>
      <c r="Q33" s="234"/>
    </row>
    <row r="34" spans="2:17" ht="16.5" thickBot="1">
      <c r="B34" s="22" t="s">
        <v>114</v>
      </c>
      <c r="C34" s="69"/>
      <c r="D34" s="205">
        <f>F34+H34</f>
        <v>150747.728</v>
      </c>
      <c r="E34" s="206"/>
      <c r="F34" s="205">
        <f>H16+H17+H18+H19+H20+H21+H22+H23+H25+H26+H27</f>
        <v>52928.727999999996</v>
      </c>
      <c r="G34" s="206"/>
      <c r="H34" s="205">
        <f>H24</f>
        <v>97819</v>
      </c>
      <c r="I34" s="214"/>
      <c r="J34" s="162"/>
      <c r="K34" s="162"/>
      <c r="L34" s="10"/>
      <c r="M34" s="10"/>
      <c r="N34" s="234"/>
      <c r="O34" s="234"/>
      <c r="P34" s="234"/>
      <c r="Q34" s="234"/>
    </row>
    <row r="35" spans="2:17" ht="27" thickBot="1">
      <c r="B35" s="23" t="s">
        <v>115</v>
      </c>
      <c r="C35" s="72"/>
      <c r="D35" s="184">
        <f>F35+H35</f>
        <v>-82905.217999999993</v>
      </c>
      <c r="E35" s="185"/>
      <c r="F35" s="182">
        <f>F33-F34</f>
        <v>-5785.5380000000005</v>
      </c>
      <c r="G35" s="183"/>
      <c r="H35" s="182">
        <f>H33-H34</f>
        <v>-77119.679999999993</v>
      </c>
      <c r="I35" s="202"/>
      <c r="J35" s="162"/>
      <c r="K35" s="162"/>
      <c r="L35" s="10"/>
      <c r="M35" s="10"/>
      <c r="N35" s="234"/>
      <c r="O35" s="234"/>
      <c r="P35" s="234"/>
      <c r="Q35" s="234"/>
    </row>
    <row r="36" spans="2:17" ht="34.5" customHeight="1">
      <c r="B36" s="157" t="s">
        <v>116</v>
      </c>
      <c r="C36" s="157"/>
      <c r="D36" s="136"/>
      <c r="E36" s="180" t="s">
        <v>117</v>
      </c>
      <c r="F36" s="180"/>
      <c r="G36" s="178" t="s">
        <v>14</v>
      </c>
      <c r="H36" s="178"/>
      <c r="I36" s="157"/>
      <c r="J36" s="157"/>
      <c r="K36" s="157"/>
      <c r="L36" s="8"/>
      <c r="M36" s="8"/>
      <c r="N36" s="237"/>
      <c r="O36" s="237"/>
      <c r="P36" s="237"/>
      <c r="Q36" s="237"/>
    </row>
    <row r="37" spans="2:17" ht="11.25" customHeight="1">
      <c r="B37" s="157"/>
      <c r="C37" s="157"/>
      <c r="D37" s="157"/>
      <c r="E37" s="179" t="s">
        <v>15</v>
      </c>
      <c r="F37" s="179"/>
      <c r="G37" s="181"/>
      <c r="H37" s="181"/>
      <c r="I37" s="158"/>
      <c r="J37" s="158"/>
      <c r="K37" s="158"/>
      <c r="L37" s="8"/>
      <c r="M37" s="8"/>
      <c r="N37" s="237"/>
      <c r="O37" s="237"/>
      <c r="P37" s="237"/>
      <c r="Q37" s="237"/>
    </row>
    <row r="38" spans="2:17">
      <c r="B38" s="157" t="s">
        <v>118</v>
      </c>
      <c r="C38" s="157"/>
      <c r="D38" s="157"/>
      <c r="E38" s="177" t="s">
        <v>117</v>
      </c>
      <c r="F38" s="177"/>
      <c r="G38" s="178" t="s">
        <v>131</v>
      </c>
      <c r="H38" s="178"/>
      <c r="I38" s="157"/>
      <c r="J38" s="157"/>
      <c r="K38" s="157"/>
      <c r="L38" s="8"/>
      <c r="M38" s="8"/>
      <c r="N38" s="237"/>
      <c r="O38" s="237"/>
      <c r="P38" s="237"/>
      <c r="Q38" s="237"/>
    </row>
    <row r="39" spans="2:17" ht="9.75" customHeight="1">
      <c r="B39" s="157"/>
      <c r="C39" s="157"/>
      <c r="D39" s="157"/>
      <c r="E39" s="179" t="s">
        <v>15</v>
      </c>
      <c r="F39" s="179"/>
      <c r="G39" s="178"/>
      <c r="H39" s="178"/>
      <c r="I39" s="157"/>
      <c r="J39" s="157"/>
      <c r="K39" s="157"/>
      <c r="N39" s="234"/>
      <c r="O39" s="234"/>
      <c r="P39" s="234"/>
      <c r="Q39" s="234"/>
    </row>
    <row r="40" spans="2:17">
      <c r="B40" s="157" t="s">
        <v>119</v>
      </c>
      <c r="C40" s="157"/>
      <c r="D40" s="157"/>
      <c r="E40" s="177" t="s">
        <v>117</v>
      </c>
      <c r="F40" s="177"/>
      <c r="G40" s="178" t="s">
        <v>157</v>
      </c>
      <c r="H40" s="178"/>
      <c r="I40" s="157"/>
      <c r="J40" s="157"/>
      <c r="K40" s="157"/>
      <c r="N40" s="234"/>
      <c r="O40" s="234"/>
      <c r="P40" s="234"/>
      <c r="Q40" s="234"/>
    </row>
    <row r="41" spans="2:17" ht="8.25" customHeight="1">
      <c r="B41" s="27"/>
      <c r="C41" s="27"/>
      <c r="D41" s="27"/>
      <c r="E41" s="179" t="s">
        <v>15</v>
      </c>
      <c r="F41" s="179"/>
      <c r="G41" s="160"/>
      <c r="H41" s="137"/>
      <c r="I41" s="161"/>
      <c r="J41" s="161"/>
      <c r="K41" s="161"/>
      <c r="N41" s="234"/>
      <c r="O41" s="234"/>
      <c r="P41" s="234"/>
      <c r="Q41" s="234"/>
    </row>
    <row r="42" spans="2:17">
      <c r="B42" s="157" t="s">
        <v>120</v>
      </c>
      <c r="C42" s="157"/>
      <c r="D42" s="157"/>
      <c r="E42" s="177" t="s">
        <v>117</v>
      </c>
      <c r="F42" s="177"/>
      <c r="G42" s="178" t="s">
        <v>93</v>
      </c>
      <c r="H42" s="178"/>
    </row>
    <row r="43" spans="2:17" ht="9" customHeight="1">
      <c r="B43" s="138"/>
      <c r="C43" s="138"/>
      <c r="D43" s="138"/>
      <c r="E43" s="179" t="s">
        <v>15</v>
      </c>
      <c r="F43" s="179"/>
      <c r="G43" s="179"/>
      <c r="H43" s="179"/>
    </row>
  </sheetData>
  <mergeCells count="42">
    <mergeCell ref="G42:H42"/>
    <mergeCell ref="E43:F43"/>
    <mergeCell ref="G43:H43"/>
    <mergeCell ref="H35:I35"/>
    <mergeCell ref="E36:F36"/>
    <mergeCell ref="G36:H36"/>
    <mergeCell ref="E37:F37"/>
    <mergeCell ref="G37:H37"/>
    <mergeCell ref="E38:F38"/>
    <mergeCell ref="G38:H38"/>
    <mergeCell ref="E39:F39"/>
    <mergeCell ref="G39:H39"/>
    <mergeCell ref="E40:F40"/>
    <mergeCell ref="G40:H40"/>
    <mergeCell ref="E41:F41"/>
    <mergeCell ref="E42:F42"/>
    <mergeCell ref="B13:I13"/>
    <mergeCell ref="B14:B15"/>
    <mergeCell ref="C14:C15"/>
    <mergeCell ref="D14:D15"/>
    <mergeCell ref="E14:E15"/>
    <mergeCell ref="F14:F15"/>
    <mergeCell ref="G14:H14"/>
    <mergeCell ref="I14:I15"/>
    <mergeCell ref="B2:I3"/>
    <mergeCell ref="D5:F5"/>
    <mergeCell ref="D12:E12"/>
    <mergeCell ref="D35:E35"/>
    <mergeCell ref="F35:G35"/>
    <mergeCell ref="D31:E31"/>
    <mergeCell ref="F31:G31"/>
    <mergeCell ref="D32:E32"/>
    <mergeCell ref="F32:G32"/>
    <mergeCell ref="D33:E33"/>
    <mergeCell ref="F33:G33"/>
    <mergeCell ref="D34:E34"/>
    <mergeCell ref="F34:G34"/>
    <mergeCell ref="B30:I30"/>
    <mergeCell ref="H31:I31"/>
    <mergeCell ref="H32:I32"/>
    <mergeCell ref="H33:I33"/>
    <mergeCell ref="H34:I34"/>
  </mergeCells>
  <printOptions horizontalCentered="1"/>
  <pageMargins left="0.19685039370078741" right="0.19685039370078741" top="0.15748031496062992" bottom="0.23622047244094491" header="0.31496062992125984" footer="0.31496062992125984"/>
  <pageSetup paperSize="9" scale="42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B1:S46"/>
  <sheetViews>
    <sheetView zoomScale="110" zoomScaleNormal="110" workbookViewId="0">
      <selection activeCell="B1" sqref="B1:I1"/>
    </sheetView>
  </sheetViews>
  <sheetFormatPr defaultColWidth="9.140625" defaultRowHeight="15.75" outlineLevelRow="1"/>
  <cols>
    <col min="1" max="1" width="2.85546875" style="1" customWidth="1"/>
    <col min="2" max="2" width="53.28515625" style="1" customWidth="1"/>
    <col min="3" max="3" width="12.7109375" style="2" customWidth="1"/>
    <col min="4" max="4" width="9.28515625" style="2" customWidth="1"/>
    <col min="5" max="5" width="11.140625" style="2" customWidth="1"/>
    <col min="6" max="6" width="10.28515625" style="2" customWidth="1"/>
    <col min="7" max="7" width="9.85546875" style="1" customWidth="1"/>
    <col min="8" max="8" width="10.28515625" style="1" customWidth="1"/>
    <col min="9" max="10" width="12.28515625" style="1" customWidth="1"/>
    <col min="11" max="13" width="9.140625" style="1"/>
    <col min="14" max="14" width="14.140625" style="232" customWidth="1"/>
    <col min="15" max="15" width="11.85546875" style="232" customWidth="1"/>
    <col min="16" max="16" width="12.85546875" style="232" customWidth="1"/>
    <col min="17" max="17" width="14.7109375" style="232" customWidth="1"/>
    <col min="18" max="19" width="9.140625" style="232"/>
    <col min="20" max="16384" width="9.140625" style="1"/>
  </cols>
  <sheetData>
    <row r="1" spans="2:18">
      <c r="B1" s="137"/>
      <c r="C1" s="137"/>
      <c r="D1" s="137"/>
      <c r="E1" s="137"/>
      <c r="F1" s="137"/>
      <c r="G1" s="137"/>
      <c r="H1" s="137"/>
      <c r="I1" s="137"/>
    </row>
    <row r="2" spans="2:18" ht="19.5" customHeight="1">
      <c r="B2" s="186" t="s">
        <v>161</v>
      </c>
      <c r="C2" s="186"/>
      <c r="D2" s="186"/>
      <c r="E2" s="186"/>
      <c r="F2" s="186"/>
      <c r="G2" s="186"/>
      <c r="H2" s="186"/>
      <c r="I2" s="186"/>
    </row>
    <row r="3" spans="2:18" ht="20.25" customHeight="1">
      <c r="B3" s="186"/>
      <c r="C3" s="186"/>
      <c r="D3" s="186"/>
      <c r="E3" s="186"/>
      <c r="F3" s="186"/>
      <c r="G3" s="186"/>
      <c r="H3" s="186"/>
      <c r="I3" s="186"/>
    </row>
    <row r="4" spans="2:18" ht="16.5" customHeight="1"/>
    <row r="5" spans="2:18">
      <c r="B5" s="1" t="s">
        <v>0</v>
      </c>
      <c r="D5" s="200" t="s">
        <v>55</v>
      </c>
      <c r="E5" s="200"/>
      <c r="F5" s="200"/>
    </row>
    <row r="6" spans="2:18">
      <c r="B6" s="1" t="s">
        <v>1</v>
      </c>
      <c r="D6" s="13">
        <v>1955</v>
      </c>
      <c r="E6" s="13"/>
      <c r="F6" s="13"/>
    </row>
    <row r="7" spans="2:18" hidden="1" outlineLevel="1">
      <c r="B7" s="1" t="s">
        <v>2</v>
      </c>
      <c r="D7" s="13">
        <v>2</v>
      </c>
      <c r="E7" s="13"/>
      <c r="F7" s="13"/>
    </row>
    <row r="8" spans="2:18" hidden="1" outlineLevel="1">
      <c r="B8" s="1" t="s">
        <v>3</v>
      </c>
      <c r="D8" s="13">
        <v>8</v>
      </c>
      <c r="E8" s="13"/>
      <c r="F8" s="13"/>
    </row>
    <row r="9" spans="2:18" ht="30.75" hidden="1" customHeight="1" outlineLevel="1">
      <c r="B9" s="4" t="s">
        <v>4</v>
      </c>
      <c r="C9" s="5"/>
      <c r="D9" s="13" t="s">
        <v>56</v>
      </c>
      <c r="E9" s="13"/>
      <c r="F9" s="13"/>
    </row>
    <row r="10" spans="2:18" collapsed="1">
      <c r="B10" s="1" t="s">
        <v>5</v>
      </c>
      <c r="D10" s="17" t="s">
        <v>108</v>
      </c>
      <c r="E10" s="13"/>
      <c r="F10" s="13"/>
      <c r="J10" s="6"/>
    </row>
    <row r="11" spans="2:18" hidden="1" outlineLevel="1">
      <c r="B11" s="1" t="s">
        <v>6</v>
      </c>
      <c r="D11" s="13" t="s">
        <v>7</v>
      </c>
      <c r="E11" s="13"/>
      <c r="F11" s="13"/>
    </row>
    <row r="12" spans="2:18" ht="30.75" hidden="1" customHeight="1" outlineLevel="1">
      <c r="B12" s="4" t="s">
        <v>8</v>
      </c>
      <c r="C12" s="5"/>
      <c r="D12" s="201" t="s">
        <v>54</v>
      </c>
      <c r="E12" s="201"/>
      <c r="F12" s="13"/>
      <c r="J12" s="6"/>
    </row>
    <row r="13" spans="2:18" ht="31.5" customHeight="1" collapsed="1" thickBot="1">
      <c r="B13" s="187" t="s">
        <v>132</v>
      </c>
      <c r="C13" s="187"/>
      <c r="D13" s="187"/>
      <c r="E13" s="187"/>
      <c r="F13" s="187"/>
      <c r="G13" s="187"/>
      <c r="H13" s="187"/>
      <c r="I13" s="187"/>
      <c r="J13" s="124"/>
      <c r="K13" s="124"/>
      <c r="M13" s="6"/>
      <c r="N13" s="233" t="s">
        <v>133</v>
      </c>
      <c r="O13" s="233" t="s">
        <v>134</v>
      </c>
      <c r="P13" s="233" t="s">
        <v>135</v>
      </c>
      <c r="Q13" s="233" t="s">
        <v>136</v>
      </c>
    </row>
    <row r="14" spans="2:18" ht="27.75" customHeight="1">
      <c r="B14" s="188" t="s">
        <v>137</v>
      </c>
      <c r="C14" s="190" t="s">
        <v>138</v>
      </c>
      <c r="D14" s="190" t="s">
        <v>139</v>
      </c>
      <c r="E14" s="192" t="s">
        <v>140</v>
      </c>
      <c r="F14" s="194" t="s">
        <v>141</v>
      </c>
      <c r="G14" s="196" t="s">
        <v>142</v>
      </c>
      <c r="H14" s="197"/>
      <c r="I14" s="198" t="s">
        <v>163</v>
      </c>
      <c r="J14" s="125"/>
      <c r="K14" s="125"/>
      <c r="M14" s="6"/>
      <c r="N14" s="233"/>
      <c r="O14" s="233"/>
      <c r="P14" s="233"/>
      <c r="Q14" s="233"/>
    </row>
    <row r="15" spans="2:18" ht="45" customHeight="1" thickBot="1">
      <c r="B15" s="189"/>
      <c r="C15" s="191"/>
      <c r="D15" s="191"/>
      <c r="E15" s="193"/>
      <c r="F15" s="195"/>
      <c r="G15" s="48" t="s">
        <v>121</v>
      </c>
      <c r="H15" s="49" t="s">
        <v>122</v>
      </c>
      <c r="I15" s="199"/>
      <c r="J15" s="125"/>
      <c r="K15" s="125"/>
      <c r="N15" s="234">
        <v>20653.16</v>
      </c>
      <c r="O15" s="234">
        <v>23203.59</v>
      </c>
      <c r="P15" s="234">
        <f>19679*1.05</f>
        <v>20662.95</v>
      </c>
      <c r="Q15" s="234">
        <f>22005.42*1.05</f>
        <v>23105.690999999999</v>
      </c>
      <c r="R15" s="232">
        <f>(N15+O15)/(P15+Q15)*100</f>
        <v>100.20130622744261</v>
      </c>
    </row>
    <row r="16" spans="2:18" ht="50.25" customHeight="1">
      <c r="B16" s="110" t="s">
        <v>143</v>
      </c>
      <c r="C16" s="51" t="s">
        <v>144</v>
      </c>
      <c r="D16" s="52" t="s">
        <v>145</v>
      </c>
      <c r="E16" s="53">
        <v>1.01</v>
      </c>
      <c r="F16" s="54">
        <v>1.05</v>
      </c>
      <c r="G16" s="55">
        <f>($N$15/$N$16*E16)+($O$15/$O$16*F16)</f>
        <v>5056.8046395648616</v>
      </c>
      <c r="H16" s="56">
        <f>($P$15/$P$16*E16)+($Q$15/$Q$16*F16)</f>
        <v>5047.1655738351255</v>
      </c>
      <c r="I16" s="57">
        <f>H16-G16</f>
        <v>-9.6390657297361031</v>
      </c>
      <c r="J16" s="126"/>
      <c r="K16" s="126"/>
      <c r="L16" s="7"/>
      <c r="M16" s="58"/>
      <c r="N16" s="235">
        <f>14.92-1.94-4.61</f>
        <v>8.370000000000001</v>
      </c>
      <c r="O16" s="234">
        <f>16.11-2-4.61</f>
        <v>9.5</v>
      </c>
      <c r="P16" s="235">
        <v>8.3699999999999992</v>
      </c>
      <c r="Q16" s="234">
        <v>9.5</v>
      </c>
    </row>
    <row r="17" spans="2:17" ht="51">
      <c r="B17" s="127" t="s">
        <v>129</v>
      </c>
      <c r="C17" s="51" t="s">
        <v>144</v>
      </c>
      <c r="D17" s="52" t="s">
        <v>145</v>
      </c>
      <c r="E17" s="41">
        <v>1.1299999999999999</v>
      </c>
      <c r="F17" s="159">
        <v>1.17</v>
      </c>
      <c r="G17" s="55">
        <f t="shared" ref="G17:G27" si="0">($N$15/$N$16*E17)+($O$15/$O$16*F17)</f>
        <v>5646.0052708419789</v>
      </c>
      <c r="H17" s="56">
        <f t="shared" ref="H17:H21" si="1">($P$15/$P$16*E17)+($Q$15/$Q$16*F17)</f>
        <v>5635.2699445878134</v>
      </c>
      <c r="I17" s="57">
        <f t="shared" ref="I17:I27" si="2">H17-G17</f>
        <v>-10.735326254165557</v>
      </c>
      <c r="J17" s="126"/>
      <c r="K17" s="126"/>
      <c r="L17" s="8"/>
      <c r="M17" s="8"/>
      <c r="N17" s="236"/>
      <c r="O17" s="237"/>
      <c r="P17" s="237"/>
      <c r="Q17" s="237"/>
    </row>
    <row r="18" spans="2:17" ht="52.5" customHeight="1">
      <c r="B18" s="62" t="s">
        <v>123</v>
      </c>
      <c r="C18" s="51" t="s">
        <v>144</v>
      </c>
      <c r="D18" s="52" t="s">
        <v>145</v>
      </c>
      <c r="E18" s="41">
        <v>0.28000000000000003</v>
      </c>
      <c r="F18" s="159">
        <v>0.27</v>
      </c>
      <c r="G18" s="55">
        <f t="shared" si="0"/>
        <v>1350.3766414009935</v>
      </c>
      <c r="H18" s="56">
        <f t="shared" si="1"/>
        <v>1347.9217517562724</v>
      </c>
      <c r="I18" s="57">
        <f t="shared" si="2"/>
        <v>-2.4548896447211064</v>
      </c>
      <c r="J18" s="126"/>
      <c r="K18" s="126"/>
      <c r="M18" s="6"/>
      <c r="N18" s="234"/>
      <c r="O18" s="234"/>
      <c r="P18" s="234"/>
      <c r="Q18" s="234"/>
    </row>
    <row r="19" spans="2:17" ht="25.5">
      <c r="B19" s="62" t="s">
        <v>146</v>
      </c>
      <c r="C19" s="59" t="s">
        <v>147</v>
      </c>
      <c r="D19" s="52" t="s">
        <v>145</v>
      </c>
      <c r="E19" s="41">
        <v>0</v>
      </c>
      <c r="F19" s="159">
        <v>0</v>
      </c>
      <c r="G19" s="55">
        <f t="shared" si="0"/>
        <v>0</v>
      </c>
      <c r="H19" s="56">
        <f t="shared" si="1"/>
        <v>0</v>
      </c>
      <c r="I19" s="57">
        <f t="shared" si="2"/>
        <v>0</v>
      </c>
      <c r="J19" s="126"/>
      <c r="K19" s="126"/>
      <c r="M19" s="6"/>
      <c r="N19" s="234"/>
      <c r="O19" s="234"/>
      <c r="P19" s="234"/>
      <c r="Q19" s="234"/>
    </row>
    <row r="20" spans="2:17" ht="51">
      <c r="B20" s="127" t="s">
        <v>124</v>
      </c>
      <c r="C20" s="51" t="s">
        <v>144</v>
      </c>
      <c r="D20" s="52" t="s">
        <v>145</v>
      </c>
      <c r="E20" s="41">
        <v>1.1399999999999999</v>
      </c>
      <c r="F20" s="159">
        <v>1.33</v>
      </c>
      <c r="G20" s="55">
        <f t="shared" si="0"/>
        <v>6061.4777971326166</v>
      </c>
      <c r="H20" s="56">
        <f t="shared" si="1"/>
        <v>6049.1053421505376</v>
      </c>
      <c r="I20" s="57">
        <f t="shared" si="2"/>
        <v>-12.372454982079034</v>
      </c>
      <c r="J20" s="126"/>
      <c r="K20" s="126"/>
      <c r="N20" s="234"/>
      <c r="O20" s="234"/>
      <c r="P20" s="234"/>
      <c r="Q20" s="234"/>
    </row>
    <row r="21" spans="2:17" ht="145.5" customHeight="1">
      <c r="B21" s="127" t="s">
        <v>125</v>
      </c>
      <c r="C21" s="51" t="s">
        <v>148</v>
      </c>
      <c r="D21" s="52" t="s">
        <v>145</v>
      </c>
      <c r="E21" s="41">
        <v>3.6</v>
      </c>
      <c r="F21" s="159">
        <v>3.07</v>
      </c>
      <c r="G21" s="55">
        <f t="shared" si="0"/>
        <v>16381.502864629314</v>
      </c>
      <c r="H21" s="56">
        <f t="shared" si="1"/>
        <v>16354.076782580645</v>
      </c>
      <c r="I21" s="57">
        <f t="shared" si="2"/>
        <v>-27.426082048668832</v>
      </c>
      <c r="J21" s="126"/>
      <c r="K21" s="126"/>
      <c r="L21" s="8"/>
      <c r="M21" s="60"/>
      <c r="N21" s="237"/>
      <c r="O21" s="237"/>
      <c r="P21" s="237"/>
      <c r="Q21" s="237"/>
    </row>
    <row r="22" spans="2:17" ht="27.75" customHeight="1">
      <c r="B22" s="62" t="s">
        <v>149</v>
      </c>
      <c r="C22" s="51" t="s">
        <v>147</v>
      </c>
      <c r="D22" s="52" t="s">
        <v>145</v>
      </c>
      <c r="E22" s="41">
        <v>1.94</v>
      </c>
      <c r="F22" s="159">
        <v>2</v>
      </c>
      <c r="G22" s="55">
        <v>8958.36</v>
      </c>
      <c r="H22" s="40">
        <v>9094.86</v>
      </c>
      <c r="I22" s="57">
        <f t="shared" si="2"/>
        <v>136.5</v>
      </c>
      <c r="J22" s="126"/>
      <c r="K22" s="126"/>
      <c r="N22" s="234"/>
      <c r="O22" s="234"/>
      <c r="P22" s="234"/>
      <c r="Q22" s="234"/>
    </row>
    <row r="23" spans="2:17" ht="108.75" customHeight="1">
      <c r="B23" s="127" t="s">
        <v>150</v>
      </c>
      <c r="C23" s="51" t="s">
        <v>144</v>
      </c>
      <c r="D23" s="52" t="s">
        <v>145</v>
      </c>
      <c r="E23" s="41">
        <v>0.22</v>
      </c>
      <c r="F23" s="159">
        <v>0.21</v>
      </c>
      <c r="G23" s="55">
        <f t="shared" si="0"/>
        <v>1055.7763257624347</v>
      </c>
      <c r="H23" s="56">
        <f t="shared" ref="H23" si="3">($P$15/$P$16*E23)+($Q$15/$Q$16*F23)</f>
        <v>1053.8695663799283</v>
      </c>
      <c r="I23" s="57">
        <f t="shared" si="2"/>
        <v>-1.9067593825063796</v>
      </c>
      <c r="J23" s="126"/>
      <c r="K23" s="126"/>
      <c r="N23" s="234"/>
      <c r="O23" s="234"/>
      <c r="P23" s="234"/>
      <c r="Q23" s="234"/>
    </row>
    <row r="24" spans="2:17" ht="48">
      <c r="B24" s="62" t="s">
        <v>151</v>
      </c>
      <c r="C24" s="51" t="s">
        <v>144</v>
      </c>
      <c r="D24" s="52" t="s">
        <v>145</v>
      </c>
      <c r="E24" s="41">
        <v>4.6100000000000003</v>
      </c>
      <c r="F24" s="159">
        <v>4.6100000000000003</v>
      </c>
      <c r="G24" s="55">
        <v>21889.42</v>
      </c>
      <c r="H24" s="128">
        <v>1017</v>
      </c>
      <c r="I24" s="57">
        <f t="shared" si="2"/>
        <v>-20872.419999999998</v>
      </c>
      <c r="J24" s="126"/>
      <c r="K24" s="126"/>
      <c r="M24" s="6"/>
      <c r="N24" s="234"/>
      <c r="O24" s="234"/>
      <c r="P24" s="234"/>
      <c r="Q24" s="234"/>
    </row>
    <row r="25" spans="2:17" ht="63.75">
      <c r="B25" s="127" t="s">
        <v>152</v>
      </c>
      <c r="C25" s="59" t="s">
        <v>148</v>
      </c>
      <c r="D25" s="52" t="s">
        <v>145</v>
      </c>
      <c r="E25" s="41">
        <v>0.71</v>
      </c>
      <c r="F25" s="159">
        <v>1.44</v>
      </c>
      <c r="G25" s="55">
        <f t="shared" si="0"/>
        <v>5269.1164403194362</v>
      </c>
      <c r="H25" s="56">
        <f>($P$15/$P$16*E25)+($Q$15/$Q$16*F25)</f>
        <v>5255.1074669534046</v>
      </c>
      <c r="I25" s="57">
        <f t="shared" si="2"/>
        <v>-14.008973366031569</v>
      </c>
      <c r="J25" s="126"/>
      <c r="K25" s="126"/>
      <c r="L25" s="163"/>
      <c r="M25" s="6"/>
      <c r="N25" s="234"/>
      <c r="O25" s="234"/>
      <c r="P25" s="234"/>
      <c r="Q25" s="234"/>
    </row>
    <row r="26" spans="2:17" ht="63.75">
      <c r="B26" s="127" t="s">
        <v>126</v>
      </c>
      <c r="C26" s="59" t="s">
        <v>148</v>
      </c>
      <c r="D26" s="52" t="s">
        <v>145</v>
      </c>
      <c r="E26" s="41">
        <v>0.25</v>
      </c>
      <c r="F26" s="159">
        <v>0.83</v>
      </c>
      <c r="G26" s="55">
        <f t="shared" si="0"/>
        <v>2644.1415467396087</v>
      </c>
      <c r="H26" s="56">
        <f t="shared" ref="H26:H27" si="4">($P$15/$P$16*E26)+($Q$15/$Q$16*F26)</f>
        <v>2635.8806790681001</v>
      </c>
      <c r="I26" s="57">
        <f t="shared" si="2"/>
        <v>-8.2608676715085494</v>
      </c>
      <c r="J26" s="126"/>
      <c r="K26" s="126"/>
      <c r="L26" s="64"/>
      <c r="M26" s="6"/>
      <c r="N26" s="238"/>
      <c r="O26" s="238"/>
      <c r="P26" s="234"/>
      <c r="Q26" s="234"/>
    </row>
    <row r="27" spans="2:17">
      <c r="B27" s="62" t="s">
        <v>127</v>
      </c>
      <c r="C27" s="129" t="s">
        <v>148</v>
      </c>
      <c r="D27" s="52" t="s">
        <v>145</v>
      </c>
      <c r="E27" s="41">
        <v>0.03</v>
      </c>
      <c r="F27" s="159">
        <v>0.13</v>
      </c>
      <c r="G27" s="55">
        <f t="shared" si="0"/>
        <v>391.54847360875306</v>
      </c>
      <c r="H27" s="56">
        <f t="shared" si="4"/>
        <v>390.24389268817202</v>
      </c>
      <c r="I27" s="57">
        <f t="shared" si="2"/>
        <v>-1.3045809205810315</v>
      </c>
      <c r="J27" s="126"/>
      <c r="K27" s="126"/>
      <c r="N27" s="234"/>
      <c r="O27" s="234"/>
      <c r="P27" s="234"/>
      <c r="Q27" s="234"/>
    </row>
    <row r="28" spans="2:17" ht="16.5" thickBot="1">
      <c r="B28" s="33" t="s">
        <v>128</v>
      </c>
      <c r="C28" s="130"/>
      <c r="D28" s="130"/>
      <c r="E28" s="34">
        <f>SUM(E16:E27)</f>
        <v>14.92</v>
      </c>
      <c r="F28" s="131">
        <f>SUM(F16:F27)</f>
        <v>16.11</v>
      </c>
      <c r="G28" s="132">
        <f>SUM(G16:G27)</f>
        <v>74704.53</v>
      </c>
      <c r="H28" s="133">
        <f>SUM(H16:H27)</f>
        <v>53880.501000000004</v>
      </c>
      <c r="I28" s="134">
        <f>H28-G28</f>
        <v>-20824.028999999995</v>
      </c>
      <c r="J28" s="135"/>
      <c r="K28" s="135"/>
      <c r="N28" s="234"/>
      <c r="O28" s="234"/>
      <c r="P28" s="234"/>
      <c r="Q28" s="234"/>
    </row>
    <row r="29" spans="2:17">
      <c r="B29" s="6"/>
      <c r="C29" s="6"/>
      <c r="D29" s="6"/>
      <c r="E29" s="29"/>
      <c r="F29" s="29"/>
      <c r="G29" s="29"/>
      <c r="H29" s="29"/>
      <c r="I29" s="2"/>
      <c r="J29" s="2"/>
      <c r="K29" s="2"/>
      <c r="N29" s="234"/>
      <c r="O29" s="234"/>
      <c r="P29" s="234"/>
      <c r="Q29" s="234"/>
    </row>
    <row r="30" spans="2:17" ht="16.5" thickBot="1">
      <c r="B30" s="207" t="s">
        <v>153</v>
      </c>
      <c r="C30" s="207"/>
      <c r="D30" s="207"/>
      <c r="E30" s="207"/>
      <c r="F30" s="207"/>
      <c r="G30" s="207"/>
      <c r="H30" s="207"/>
      <c r="I30" s="207"/>
      <c r="J30" s="156"/>
      <c r="K30" s="156"/>
      <c r="N30" s="234"/>
      <c r="O30" s="234"/>
      <c r="P30" s="234"/>
      <c r="Q30" s="234"/>
    </row>
    <row r="31" spans="2:17" ht="44.25" customHeight="1">
      <c r="B31" s="20"/>
      <c r="C31" s="65"/>
      <c r="D31" s="208" t="s">
        <v>154</v>
      </c>
      <c r="E31" s="209"/>
      <c r="F31" s="210" t="s">
        <v>10</v>
      </c>
      <c r="G31" s="211"/>
      <c r="H31" s="210" t="s">
        <v>11</v>
      </c>
      <c r="I31" s="212"/>
      <c r="J31" s="163"/>
      <c r="K31" s="163"/>
      <c r="L31" s="24"/>
      <c r="M31" s="9"/>
      <c r="N31" s="238"/>
      <c r="O31" s="238"/>
      <c r="P31" s="238"/>
      <c r="Q31" s="238"/>
    </row>
    <row r="32" spans="2:17">
      <c r="B32" s="21" t="s">
        <v>12</v>
      </c>
      <c r="C32" s="67"/>
      <c r="D32" s="203">
        <f>F32+H32</f>
        <v>73044.509999999995</v>
      </c>
      <c r="E32" s="204"/>
      <c r="F32" s="203">
        <f>19871.42+22325.31+8958.36</f>
        <v>51155.09</v>
      </c>
      <c r="G32" s="204"/>
      <c r="H32" s="203">
        <f>G24</f>
        <v>21889.42</v>
      </c>
      <c r="I32" s="213"/>
      <c r="J32" s="162"/>
      <c r="K32" s="162"/>
      <c r="L32" s="10"/>
      <c r="M32" s="10"/>
      <c r="N32" s="234"/>
      <c r="O32" s="234"/>
      <c r="P32" s="234"/>
      <c r="Q32" s="234"/>
    </row>
    <row r="33" spans="2:17">
      <c r="B33" s="21" t="s">
        <v>13</v>
      </c>
      <c r="C33" s="67"/>
      <c r="D33" s="203">
        <f>F33+H33</f>
        <v>72201.34</v>
      </c>
      <c r="E33" s="204"/>
      <c r="F33" s="203">
        <f>19610.68+22032.38+8956.07</f>
        <v>50599.13</v>
      </c>
      <c r="G33" s="204"/>
      <c r="H33" s="203">
        <f>21602.21</f>
        <v>21602.21</v>
      </c>
      <c r="I33" s="213"/>
      <c r="J33" s="162"/>
      <c r="K33" s="162"/>
      <c r="L33" s="25"/>
      <c r="M33" s="10"/>
      <c r="N33" s="234"/>
      <c r="O33" s="234"/>
      <c r="P33" s="234"/>
      <c r="Q33" s="234"/>
    </row>
    <row r="34" spans="2:17" ht="16.5" thickBot="1">
      <c r="B34" s="22" t="s">
        <v>114</v>
      </c>
      <c r="C34" s="69"/>
      <c r="D34" s="205">
        <f>F34+H34</f>
        <v>53880.501000000004</v>
      </c>
      <c r="E34" s="206"/>
      <c r="F34" s="205">
        <f>H16+H17+H18+H19+H20+H21+H22+H23+H25+H26+H27</f>
        <v>52863.501000000004</v>
      </c>
      <c r="G34" s="206"/>
      <c r="H34" s="205">
        <f>H24</f>
        <v>1017</v>
      </c>
      <c r="I34" s="214"/>
      <c r="J34" s="162"/>
      <c r="K34" s="162"/>
      <c r="L34" s="10"/>
      <c r="M34" s="10"/>
      <c r="N34" s="234"/>
      <c r="O34" s="234"/>
      <c r="P34" s="234"/>
      <c r="Q34" s="234"/>
    </row>
    <row r="35" spans="2:17" ht="27" thickBot="1">
      <c r="B35" s="23" t="s">
        <v>115</v>
      </c>
      <c r="C35" s="72"/>
      <c r="D35" s="184">
        <f>F35+H35</f>
        <v>18320.838999999993</v>
      </c>
      <c r="E35" s="185"/>
      <c r="F35" s="182">
        <f>F33-F34</f>
        <v>-2264.3710000000065</v>
      </c>
      <c r="G35" s="183"/>
      <c r="H35" s="182">
        <f>H33-H34</f>
        <v>20585.21</v>
      </c>
      <c r="I35" s="202"/>
      <c r="J35" s="162"/>
      <c r="K35" s="162"/>
      <c r="L35" s="10"/>
      <c r="M35" s="10"/>
      <c r="N35" s="234"/>
      <c r="O35" s="234"/>
      <c r="P35" s="234"/>
      <c r="Q35" s="234"/>
    </row>
    <row r="36" spans="2:17" ht="34.5" customHeight="1">
      <c r="B36" s="157" t="s">
        <v>116</v>
      </c>
      <c r="C36" s="157"/>
      <c r="D36" s="136"/>
      <c r="E36" s="180" t="s">
        <v>117</v>
      </c>
      <c r="F36" s="180"/>
      <c r="G36" s="178" t="s">
        <v>14</v>
      </c>
      <c r="H36" s="178"/>
      <c r="I36" s="157"/>
      <c r="J36" s="157"/>
      <c r="K36" s="157"/>
      <c r="L36" s="8"/>
      <c r="M36" s="8"/>
      <c r="N36" s="237"/>
      <c r="O36" s="237"/>
      <c r="P36" s="237"/>
      <c r="Q36" s="237"/>
    </row>
    <row r="37" spans="2:17" ht="11.25" customHeight="1">
      <c r="B37" s="157"/>
      <c r="C37" s="157"/>
      <c r="D37" s="157"/>
      <c r="E37" s="179" t="s">
        <v>15</v>
      </c>
      <c r="F37" s="179"/>
      <c r="G37" s="181"/>
      <c r="H37" s="181"/>
      <c r="I37" s="158"/>
      <c r="J37" s="158"/>
      <c r="K37" s="158"/>
      <c r="L37" s="8"/>
      <c r="M37" s="8"/>
      <c r="N37" s="237"/>
      <c r="O37" s="237"/>
      <c r="P37" s="237"/>
      <c r="Q37" s="237"/>
    </row>
    <row r="38" spans="2:17">
      <c r="B38" s="157" t="s">
        <v>118</v>
      </c>
      <c r="C38" s="157"/>
      <c r="D38" s="157"/>
      <c r="E38" s="177" t="s">
        <v>117</v>
      </c>
      <c r="F38" s="177"/>
      <c r="G38" s="178" t="s">
        <v>131</v>
      </c>
      <c r="H38" s="178"/>
      <c r="I38" s="157"/>
      <c r="J38" s="157"/>
      <c r="K38" s="157"/>
      <c r="L38" s="8"/>
      <c r="M38" s="8"/>
      <c r="N38" s="237"/>
      <c r="O38" s="237"/>
      <c r="P38" s="237"/>
      <c r="Q38" s="237"/>
    </row>
    <row r="39" spans="2:17" ht="9.75" customHeight="1">
      <c r="B39" s="157"/>
      <c r="C39" s="157"/>
      <c r="D39" s="157"/>
      <c r="E39" s="179" t="s">
        <v>15</v>
      </c>
      <c r="F39" s="179"/>
      <c r="G39" s="178"/>
      <c r="H39" s="178"/>
      <c r="I39" s="157"/>
      <c r="J39" s="157"/>
      <c r="K39" s="157"/>
      <c r="N39" s="234"/>
      <c r="O39" s="234"/>
      <c r="P39" s="234"/>
      <c r="Q39" s="234"/>
    </row>
    <row r="40" spans="2:17">
      <c r="B40" s="157" t="s">
        <v>119</v>
      </c>
      <c r="C40" s="157"/>
      <c r="D40" s="157"/>
      <c r="E40" s="177" t="s">
        <v>117</v>
      </c>
      <c r="F40" s="177"/>
      <c r="G40" s="178" t="s">
        <v>157</v>
      </c>
      <c r="H40" s="178"/>
      <c r="I40" s="157"/>
      <c r="J40" s="157"/>
      <c r="K40" s="157"/>
      <c r="N40" s="234"/>
      <c r="O40" s="234"/>
      <c r="P40" s="234"/>
      <c r="Q40" s="234"/>
    </row>
    <row r="41" spans="2:17" ht="8.25" customHeight="1">
      <c r="B41" s="27"/>
      <c r="C41" s="27"/>
      <c r="D41" s="27"/>
      <c r="E41" s="179" t="s">
        <v>15</v>
      </c>
      <c r="F41" s="179"/>
      <c r="G41" s="160"/>
      <c r="H41" s="137"/>
      <c r="I41" s="161"/>
      <c r="J41" s="161"/>
      <c r="K41" s="161"/>
      <c r="N41" s="234"/>
      <c r="O41" s="234"/>
      <c r="P41" s="234"/>
      <c r="Q41" s="234"/>
    </row>
    <row r="42" spans="2:17">
      <c r="B42" s="157" t="s">
        <v>120</v>
      </c>
      <c r="C42" s="157"/>
      <c r="D42" s="157"/>
      <c r="E42" s="177" t="s">
        <v>117</v>
      </c>
      <c r="F42" s="177"/>
      <c r="G42" s="178" t="s">
        <v>93</v>
      </c>
      <c r="H42" s="178"/>
    </row>
    <row r="43" spans="2:17" ht="9" customHeight="1">
      <c r="B43" s="138"/>
      <c r="C43" s="138"/>
      <c r="D43" s="138"/>
      <c r="E43" s="179" t="s">
        <v>15</v>
      </c>
      <c r="F43" s="179"/>
      <c r="G43" s="179"/>
      <c r="H43" s="179"/>
    </row>
    <row r="44" spans="2:17">
      <c r="C44" s="38"/>
    </row>
    <row r="45" spans="2:17">
      <c r="C45" s="38"/>
    </row>
    <row r="46" spans="2:17">
      <c r="C46" s="38"/>
    </row>
  </sheetData>
  <mergeCells count="42">
    <mergeCell ref="E42:F42"/>
    <mergeCell ref="G42:H42"/>
    <mergeCell ref="E43:F43"/>
    <mergeCell ref="G43:H43"/>
    <mergeCell ref="F33:G33"/>
    <mergeCell ref="H33:I33"/>
    <mergeCell ref="H34:I34"/>
    <mergeCell ref="H35:I35"/>
    <mergeCell ref="E36:F36"/>
    <mergeCell ref="G36:H36"/>
    <mergeCell ref="D35:E35"/>
    <mergeCell ref="D34:E34"/>
    <mergeCell ref="E37:F37"/>
    <mergeCell ref="E38:F38"/>
    <mergeCell ref="E39:F39"/>
    <mergeCell ref="E40:F40"/>
    <mergeCell ref="B13:I13"/>
    <mergeCell ref="B14:B15"/>
    <mergeCell ref="C14:C15"/>
    <mergeCell ref="D14:D15"/>
    <mergeCell ref="E14:E15"/>
    <mergeCell ref="F14:F15"/>
    <mergeCell ref="G14:H14"/>
    <mergeCell ref="I14:I15"/>
    <mergeCell ref="B2:I3"/>
    <mergeCell ref="D5:F5"/>
    <mergeCell ref="D12:E12"/>
    <mergeCell ref="E41:F41"/>
    <mergeCell ref="B30:I30"/>
    <mergeCell ref="D31:E31"/>
    <mergeCell ref="F31:G31"/>
    <mergeCell ref="H31:I31"/>
    <mergeCell ref="D32:E32"/>
    <mergeCell ref="F32:G32"/>
    <mergeCell ref="H32:I32"/>
    <mergeCell ref="D33:E33"/>
    <mergeCell ref="F34:G34"/>
    <mergeCell ref="F35:G35"/>
    <mergeCell ref="G37:H37"/>
    <mergeCell ref="G38:H38"/>
    <mergeCell ref="G39:H39"/>
    <mergeCell ref="G40:H40"/>
  </mergeCells>
  <printOptions horizontalCentered="1"/>
  <pageMargins left="0.19685039370078741" right="0.19685039370078741" top="0.15748031496062992" bottom="0.23622047244094491" header="0.31496062992125984" footer="0.31496062992125984"/>
  <pageSetup paperSize="9" scale="42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B1:S43"/>
  <sheetViews>
    <sheetView zoomScale="110" zoomScaleNormal="110" workbookViewId="0">
      <selection activeCell="B1" sqref="B1:I1"/>
    </sheetView>
  </sheetViews>
  <sheetFormatPr defaultColWidth="9.140625" defaultRowHeight="15.75" outlineLevelRow="1"/>
  <cols>
    <col min="1" max="1" width="2.85546875" style="1" customWidth="1"/>
    <col min="2" max="2" width="53.85546875" style="1" customWidth="1"/>
    <col min="3" max="3" width="12.7109375" style="38" customWidth="1"/>
    <col min="4" max="4" width="10.5703125" style="2" customWidth="1"/>
    <col min="5" max="6" width="10.28515625" style="2" customWidth="1"/>
    <col min="7" max="7" width="9.28515625" style="1" customWidth="1"/>
    <col min="8" max="8" width="10.28515625" style="1" customWidth="1"/>
    <col min="9" max="9" width="11.42578125" style="1" customWidth="1"/>
    <col min="10" max="13" width="9.140625" style="1"/>
    <col min="14" max="15" width="13.85546875" style="232" customWidth="1"/>
    <col min="16" max="19" width="9.140625" style="232"/>
    <col min="20" max="16384" width="9.140625" style="1"/>
  </cols>
  <sheetData>
    <row r="1" spans="2:18">
      <c r="B1" s="137"/>
      <c r="C1" s="137"/>
      <c r="D1" s="137"/>
      <c r="E1" s="137"/>
      <c r="F1" s="137"/>
      <c r="G1" s="137"/>
      <c r="H1" s="137"/>
      <c r="I1" s="137"/>
    </row>
    <row r="2" spans="2:18" ht="19.5" customHeight="1">
      <c r="B2" s="186" t="s">
        <v>161</v>
      </c>
      <c r="C2" s="186"/>
      <c r="D2" s="186"/>
      <c r="E2" s="186"/>
      <c r="F2" s="186"/>
      <c r="G2" s="186"/>
      <c r="H2" s="186"/>
      <c r="I2" s="186"/>
    </row>
    <row r="3" spans="2:18" ht="16.5" customHeight="1">
      <c r="B3" s="186"/>
      <c r="C3" s="186"/>
      <c r="D3" s="186"/>
      <c r="E3" s="186"/>
      <c r="F3" s="186"/>
      <c r="G3" s="186"/>
      <c r="H3" s="186"/>
      <c r="I3" s="186"/>
    </row>
    <row r="4" spans="2:18" ht="12.75" customHeight="1"/>
    <row r="5" spans="2:18">
      <c r="B5" s="1" t="s">
        <v>0</v>
      </c>
      <c r="D5" s="200" t="s">
        <v>57</v>
      </c>
      <c r="E5" s="200"/>
      <c r="F5" s="200"/>
    </row>
    <row r="6" spans="2:18">
      <c r="B6" s="1" t="s">
        <v>1</v>
      </c>
      <c r="D6" s="13">
        <v>1957</v>
      </c>
      <c r="E6" s="13"/>
      <c r="F6" s="13"/>
    </row>
    <row r="7" spans="2:18" hidden="1" outlineLevel="1">
      <c r="B7" s="1" t="s">
        <v>2</v>
      </c>
      <c r="D7" s="13">
        <v>2</v>
      </c>
      <c r="E7" s="13"/>
      <c r="F7" s="13"/>
    </row>
    <row r="8" spans="2:18" hidden="1" outlineLevel="1">
      <c r="B8" s="1" t="s">
        <v>3</v>
      </c>
      <c r="D8" s="13">
        <v>13</v>
      </c>
      <c r="E8" s="13"/>
      <c r="F8" s="13"/>
    </row>
    <row r="9" spans="2:18" ht="30.75" hidden="1" customHeight="1" outlineLevel="1">
      <c r="B9" s="4" t="s">
        <v>4</v>
      </c>
      <c r="C9" s="39"/>
      <c r="D9" s="13" t="s">
        <v>58</v>
      </c>
      <c r="E9" s="13"/>
      <c r="F9" s="13"/>
    </row>
    <row r="10" spans="2:18" collapsed="1">
      <c r="B10" s="1" t="s">
        <v>5</v>
      </c>
      <c r="D10" s="16" t="s">
        <v>97</v>
      </c>
      <c r="E10" s="13"/>
      <c r="F10" s="13"/>
      <c r="I10" s="6"/>
    </row>
    <row r="11" spans="2:18" hidden="1" outlineLevel="1">
      <c r="B11" s="1" t="s">
        <v>6</v>
      </c>
      <c r="D11" s="13" t="s">
        <v>7</v>
      </c>
      <c r="E11" s="13"/>
      <c r="F11" s="13"/>
    </row>
    <row r="12" spans="2:18" ht="30.75" hidden="1" customHeight="1" outlineLevel="1">
      <c r="B12" s="4" t="s">
        <v>8</v>
      </c>
      <c r="C12" s="39"/>
      <c r="D12" s="201" t="s">
        <v>59</v>
      </c>
      <c r="E12" s="201"/>
      <c r="F12" s="13"/>
      <c r="I12" s="6"/>
    </row>
    <row r="13" spans="2:18" ht="31.5" customHeight="1" collapsed="1" thickBot="1">
      <c r="B13" s="187" t="s">
        <v>132</v>
      </c>
      <c r="C13" s="187"/>
      <c r="D13" s="187"/>
      <c r="E13" s="187"/>
      <c r="F13" s="187"/>
      <c r="G13" s="187"/>
      <c r="H13" s="187"/>
      <c r="I13" s="187"/>
      <c r="J13" s="124"/>
      <c r="K13" s="124"/>
      <c r="M13" s="6"/>
      <c r="N13" s="233" t="s">
        <v>133</v>
      </c>
      <c r="O13" s="233" t="s">
        <v>134</v>
      </c>
      <c r="P13" s="233" t="s">
        <v>135</v>
      </c>
      <c r="Q13" s="233" t="s">
        <v>136</v>
      </c>
    </row>
    <row r="14" spans="2:18" ht="27.75" customHeight="1">
      <c r="B14" s="188" t="s">
        <v>137</v>
      </c>
      <c r="C14" s="190" t="s">
        <v>138</v>
      </c>
      <c r="D14" s="190" t="s">
        <v>139</v>
      </c>
      <c r="E14" s="192" t="s">
        <v>140</v>
      </c>
      <c r="F14" s="194" t="s">
        <v>141</v>
      </c>
      <c r="G14" s="196" t="s">
        <v>142</v>
      </c>
      <c r="H14" s="197"/>
      <c r="I14" s="198" t="s">
        <v>163</v>
      </c>
      <c r="J14" s="125"/>
      <c r="K14" s="125"/>
      <c r="M14" s="6"/>
      <c r="N14" s="233"/>
      <c r="O14" s="233"/>
      <c r="P14" s="233"/>
      <c r="Q14" s="233"/>
    </row>
    <row r="15" spans="2:18" ht="45" customHeight="1" thickBot="1">
      <c r="B15" s="189"/>
      <c r="C15" s="191"/>
      <c r="D15" s="191"/>
      <c r="E15" s="193"/>
      <c r="F15" s="195"/>
      <c r="G15" s="48" t="s">
        <v>121</v>
      </c>
      <c r="H15" s="49" t="s">
        <v>122</v>
      </c>
      <c r="I15" s="199"/>
      <c r="J15" s="125"/>
      <c r="K15" s="125"/>
      <c r="N15" s="234">
        <v>20653.16</v>
      </c>
      <c r="O15" s="234">
        <v>23203.59</v>
      </c>
      <c r="P15" s="234">
        <f>19679*1.05</f>
        <v>20662.95</v>
      </c>
      <c r="Q15" s="234">
        <f>22005.42*1.05</f>
        <v>23105.690999999999</v>
      </c>
      <c r="R15" s="232">
        <f>(N15+O15)/(P15+Q15)*100</f>
        <v>100.20130622744261</v>
      </c>
    </row>
    <row r="16" spans="2:18" ht="50.25" customHeight="1">
      <c r="B16" s="110" t="s">
        <v>143</v>
      </c>
      <c r="C16" s="51" t="s">
        <v>144</v>
      </c>
      <c r="D16" s="52" t="s">
        <v>145</v>
      </c>
      <c r="E16" s="53">
        <v>1.01</v>
      </c>
      <c r="F16" s="54">
        <v>1.05</v>
      </c>
      <c r="G16" s="55">
        <f>($N$15/$N$16*E16)+($O$15/$O$16*F16)</f>
        <v>5056.8046395648616</v>
      </c>
      <c r="H16" s="56">
        <f>($P$15/$P$16*E16)+($Q$15/$Q$16*F16)</f>
        <v>5047.1655738351255</v>
      </c>
      <c r="I16" s="57">
        <f>H16-G16</f>
        <v>-9.6390657297361031</v>
      </c>
      <c r="J16" s="126"/>
      <c r="K16" s="126"/>
      <c r="L16" s="7"/>
      <c r="M16" s="58"/>
      <c r="N16" s="235">
        <f>14.92-1.94-4.61</f>
        <v>8.370000000000001</v>
      </c>
      <c r="O16" s="234">
        <f>16.11-2-4.61</f>
        <v>9.5</v>
      </c>
      <c r="P16" s="235">
        <v>8.3699999999999992</v>
      </c>
      <c r="Q16" s="234">
        <v>9.5</v>
      </c>
    </row>
    <row r="17" spans="2:17" ht="51">
      <c r="B17" s="127" t="s">
        <v>129</v>
      </c>
      <c r="C17" s="51" t="s">
        <v>144</v>
      </c>
      <c r="D17" s="52" t="s">
        <v>145</v>
      </c>
      <c r="E17" s="41">
        <v>1.1299999999999999</v>
      </c>
      <c r="F17" s="159">
        <v>1.17</v>
      </c>
      <c r="G17" s="55">
        <f t="shared" ref="G17:G27" si="0">($N$15/$N$16*E17)+($O$15/$O$16*F17)</f>
        <v>5646.0052708419789</v>
      </c>
      <c r="H17" s="56">
        <f t="shared" ref="H17:H21" si="1">($P$15/$P$16*E17)+($Q$15/$Q$16*F17)</f>
        <v>5635.2699445878134</v>
      </c>
      <c r="I17" s="57">
        <f t="shared" ref="I17:I27" si="2">H17-G17</f>
        <v>-10.735326254165557</v>
      </c>
      <c r="J17" s="126"/>
      <c r="K17" s="126"/>
      <c r="L17" s="8"/>
      <c r="M17" s="8"/>
      <c r="N17" s="236"/>
      <c r="O17" s="237"/>
      <c r="P17" s="237"/>
      <c r="Q17" s="237"/>
    </row>
    <row r="18" spans="2:17" ht="52.5" customHeight="1">
      <c r="B18" s="62" t="s">
        <v>123</v>
      </c>
      <c r="C18" s="51" t="s">
        <v>144</v>
      </c>
      <c r="D18" s="52" t="s">
        <v>145</v>
      </c>
      <c r="E18" s="41">
        <v>0.28000000000000003</v>
      </c>
      <c r="F18" s="159">
        <v>0.27</v>
      </c>
      <c r="G18" s="55">
        <f t="shared" si="0"/>
        <v>1350.3766414009935</v>
      </c>
      <c r="H18" s="56">
        <f t="shared" si="1"/>
        <v>1347.9217517562724</v>
      </c>
      <c r="I18" s="57">
        <f t="shared" si="2"/>
        <v>-2.4548896447211064</v>
      </c>
      <c r="J18" s="126"/>
      <c r="K18" s="126"/>
      <c r="M18" s="6"/>
      <c r="N18" s="234"/>
      <c r="O18" s="234"/>
      <c r="P18" s="234"/>
      <c r="Q18" s="234"/>
    </row>
    <row r="19" spans="2:17" ht="25.5">
      <c r="B19" s="62" t="s">
        <v>146</v>
      </c>
      <c r="C19" s="59" t="s">
        <v>147</v>
      </c>
      <c r="D19" s="52" t="s">
        <v>145</v>
      </c>
      <c r="E19" s="41">
        <v>0</v>
      </c>
      <c r="F19" s="159">
        <v>0</v>
      </c>
      <c r="G19" s="55">
        <f t="shared" si="0"/>
        <v>0</v>
      </c>
      <c r="H19" s="56">
        <f t="shared" si="1"/>
        <v>0</v>
      </c>
      <c r="I19" s="57">
        <f t="shared" si="2"/>
        <v>0</v>
      </c>
      <c r="J19" s="126"/>
      <c r="K19" s="126"/>
      <c r="M19" s="6"/>
      <c r="N19" s="234"/>
      <c r="O19" s="234"/>
      <c r="P19" s="234"/>
      <c r="Q19" s="234"/>
    </row>
    <row r="20" spans="2:17" ht="51">
      <c r="B20" s="127" t="s">
        <v>124</v>
      </c>
      <c r="C20" s="51" t="s">
        <v>144</v>
      </c>
      <c r="D20" s="52" t="s">
        <v>145</v>
      </c>
      <c r="E20" s="41">
        <v>1.1399999999999999</v>
      </c>
      <c r="F20" s="159">
        <v>1.33</v>
      </c>
      <c r="G20" s="55">
        <f t="shared" si="0"/>
        <v>6061.4777971326166</v>
      </c>
      <c r="H20" s="56">
        <f t="shared" si="1"/>
        <v>6049.1053421505376</v>
      </c>
      <c r="I20" s="57">
        <f t="shared" si="2"/>
        <v>-12.372454982079034</v>
      </c>
      <c r="J20" s="126"/>
      <c r="K20" s="126"/>
      <c r="N20" s="234"/>
      <c r="O20" s="234"/>
      <c r="P20" s="234"/>
      <c r="Q20" s="234"/>
    </row>
    <row r="21" spans="2:17" ht="145.5" customHeight="1">
      <c r="B21" s="127" t="s">
        <v>125</v>
      </c>
      <c r="C21" s="51" t="s">
        <v>148</v>
      </c>
      <c r="D21" s="52" t="s">
        <v>145</v>
      </c>
      <c r="E21" s="41">
        <v>3.6</v>
      </c>
      <c r="F21" s="159">
        <v>3.07</v>
      </c>
      <c r="G21" s="55">
        <f t="shared" si="0"/>
        <v>16381.502864629314</v>
      </c>
      <c r="H21" s="56">
        <f t="shared" si="1"/>
        <v>16354.076782580645</v>
      </c>
      <c r="I21" s="57">
        <f t="shared" si="2"/>
        <v>-27.426082048668832</v>
      </c>
      <c r="J21" s="126"/>
      <c r="K21" s="126"/>
      <c r="L21" s="8"/>
      <c r="M21" s="60"/>
      <c r="N21" s="237"/>
      <c r="O21" s="237"/>
      <c r="P21" s="237"/>
      <c r="Q21" s="237"/>
    </row>
    <row r="22" spans="2:17" ht="27.75" customHeight="1">
      <c r="B22" s="62" t="s">
        <v>149</v>
      </c>
      <c r="C22" s="51" t="s">
        <v>147</v>
      </c>
      <c r="D22" s="52" t="s">
        <v>145</v>
      </c>
      <c r="E22" s="41">
        <v>1.94</v>
      </c>
      <c r="F22" s="159">
        <v>2</v>
      </c>
      <c r="G22" s="55">
        <v>8958.36</v>
      </c>
      <c r="H22" s="40">
        <v>9094.86</v>
      </c>
      <c r="I22" s="57">
        <f t="shared" si="2"/>
        <v>136.5</v>
      </c>
      <c r="J22" s="126"/>
      <c r="K22" s="126"/>
      <c r="N22" s="234"/>
      <c r="O22" s="234"/>
      <c r="P22" s="234"/>
      <c r="Q22" s="234"/>
    </row>
    <row r="23" spans="2:17" ht="108.75" customHeight="1">
      <c r="B23" s="127" t="s">
        <v>150</v>
      </c>
      <c r="C23" s="51" t="s">
        <v>144</v>
      </c>
      <c r="D23" s="52" t="s">
        <v>145</v>
      </c>
      <c r="E23" s="41">
        <v>0.22</v>
      </c>
      <c r="F23" s="159">
        <v>0.21</v>
      </c>
      <c r="G23" s="55">
        <f t="shared" si="0"/>
        <v>1055.7763257624347</v>
      </c>
      <c r="H23" s="56">
        <f t="shared" ref="H23" si="3">($P$15/$P$16*E23)+($Q$15/$Q$16*F23)</f>
        <v>1053.8695663799283</v>
      </c>
      <c r="I23" s="57">
        <f t="shared" si="2"/>
        <v>-1.9067593825063796</v>
      </c>
      <c r="J23" s="126"/>
      <c r="K23" s="126"/>
      <c r="N23" s="234"/>
      <c r="O23" s="234"/>
      <c r="P23" s="234"/>
      <c r="Q23" s="234"/>
    </row>
    <row r="24" spans="2:17" ht="48">
      <c r="B24" s="62" t="s">
        <v>151</v>
      </c>
      <c r="C24" s="51" t="s">
        <v>144</v>
      </c>
      <c r="D24" s="52" t="s">
        <v>145</v>
      </c>
      <c r="E24" s="41">
        <v>4.6100000000000003</v>
      </c>
      <c r="F24" s="159">
        <v>4.6100000000000003</v>
      </c>
      <c r="G24" s="55">
        <v>21889.42</v>
      </c>
      <c r="H24" s="128">
        <v>1017</v>
      </c>
      <c r="I24" s="57">
        <f t="shared" si="2"/>
        <v>-20872.419999999998</v>
      </c>
      <c r="J24" s="126"/>
      <c r="K24" s="126"/>
      <c r="M24" s="6"/>
      <c r="N24" s="234"/>
      <c r="O24" s="234"/>
      <c r="P24" s="234"/>
      <c r="Q24" s="234"/>
    </row>
    <row r="25" spans="2:17" ht="63.75">
      <c r="B25" s="127" t="s">
        <v>152</v>
      </c>
      <c r="C25" s="59" t="s">
        <v>148</v>
      </c>
      <c r="D25" s="52" t="s">
        <v>145</v>
      </c>
      <c r="E25" s="41">
        <v>0.71</v>
      </c>
      <c r="F25" s="159">
        <v>1.44</v>
      </c>
      <c r="G25" s="55">
        <f t="shared" si="0"/>
        <v>5269.1164403194362</v>
      </c>
      <c r="H25" s="56">
        <f>($P$15/$P$16*E25)+($Q$15/$Q$16*F25)</f>
        <v>5255.1074669534046</v>
      </c>
      <c r="I25" s="57">
        <f t="shared" si="2"/>
        <v>-14.008973366031569</v>
      </c>
      <c r="J25" s="126"/>
      <c r="K25" s="126"/>
      <c r="L25" s="163"/>
      <c r="M25" s="6"/>
      <c r="N25" s="234"/>
      <c r="O25" s="234"/>
      <c r="P25" s="234"/>
      <c r="Q25" s="234"/>
    </row>
    <row r="26" spans="2:17" ht="63.75">
      <c r="B26" s="127" t="s">
        <v>126</v>
      </c>
      <c r="C26" s="59" t="s">
        <v>148</v>
      </c>
      <c r="D26" s="52" t="s">
        <v>145</v>
      </c>
      <c r="E26" s="41">
        <v>0.25</v>
      </c>
      <c r="F26" s="159">
        <v>0.83</v>
      </c>
      <c r="G26" s="55">
        <f t="shared" si="0"/>
        <v>2644.1415467396087</v>
      </c>
      <c r="H26" s="56">
        <f t="shared" ref="H26:H27" si="4">($P$15/$P$16*E26)+($Q$15/$Q$16*F26)</f>
        <v>2635.8806790681001</v>
      </c>
      <c r="I26" s="57">
        <f t="shared" si="2"/>
        <v>-8.2608676715085494</v>
      </c>
      <c r="J26" s="126"/>
      <c r="K26" s="126"/>
      <c r="L26" s="64"/>
      <c r="M26" s="6"/>
      <c r="N26" s="238"/>
      <c r="O26" s="238"/>
      <c r="P26" s="234"/>
      <c r="Q26" s="234"/>
    </row>
    <row r="27" spans="2:17">
      <c r="B27" s="62" t="s">
        <v>127</v>
      </c>
      <c r="C27" s="129" t="s">
        <v>148</v>
      </c>
      <c r="D27" s="52" t="s">
        <v>145</v>
      </c>
      <c r="E27" s="41">
        <v>0.03</v>
      </c>
      <c r="F27" s="159">
        <v>0.13</v>
      </c>
      <c r="G27" s="55">
        <f t="shared" si="0"/>
        <v>391.54847360875306</v>
      </c>
      <c r="H27" s="56">
        <f t="shared" si="4"/>
        <v>390.24389268817202</v>
      </c>
      <c r="I27" s="57">
        <f t="shared" si="2"/>
        <v>-1.3045809205810315</v>
      </c>
      <c r="J27" s="126"/>
      <c r="K27" s="126"/>
      <c r="N27" s="234"/>
      <c r="O27" s="234"/>
      <c r="P27" s="234"/>
      <c r="Q27" s="234"/>
    </row>
    <row r="28" spans="2:17" ht="16.5" thickBot="1">
      <c r="B28" s="33" t="s">
        <v>128</v>
      </c>
      <c r="C28" s="130"/>
      <c r="D28" s="130"/>
      <c r="E28" s="34">
        <f>SUM(E16:E27)</f>
        <v>14.92</v>
      </c>
      <c r="F28" s="131">
        <f>SUM(F16:F27)</f>
        <v>16.11</v>
      </c>
      <c r="G28" s="132">
        <f>SUM(G16:G27)</f>
        <v>74704.53</v>
      </c>
      <c r="H28" s="133">
        <f>SUM(H16:H27)</f>
        <v>53880.501000000004</v>
      </c>
      <c r="I28" s="134">
        <f>H28-G28</f>
        <v>-20824.028999999995</v>
      </c>
      <c r="J28" s="135"/>
      <c r="K28" s="135"/>
      <c r="N28" s="234"/>
      <c r="O28" s="234"/>
      <c r="P28" s="234"/>
      <c r="Q28" s="234"/>
    </row>
    <row r="29" spans="2:17">
      <c r="B29" s="6"/>
      <c r="C29" s="6"/>
      <c r="D29" s="6"/>
      <c r="E29" s="29"/>
      <c r="F29" s="29"/>
      <c r="G29" s="29"/>
      <c r="H29" s="29"/>
      <c r="I29" s="2"/>
      <c r="J29" s="2"/>
      <c r="K29" s="2"/>
      <c r="N29" s="234"/>
      <c r="O29" s="234"/>
      <c r="P29" s="234"/>
      <c r="Q29" s="234"/>
    </row>
    <row r="30" spans="2:17" ht="16.5" thickBot="1">
      <c r="B30" s="207" t="s">
        <v>153</v>
      </c>
      <c r="C30" s="207"/>
      <c r="D30" s="207"/>
      <c r="E30" s="207"/>
      <c r="F30" s="207"/>
      <c r="G30" s="207"/>
      <c r="H30" s="207"/>
      <c r="I30" s="207"/>
      <c r="J30" s="156"/>
      <c r="K30" s="156"/>
      <c r="N30" s="234"/>
      <c r="O30" s="234"/>
      <c r="P30" s="234"/>
      <c r="Q30" s="234"/>
    </row>
    <row r="31" spans="2:17" ht="44.25" customHeight="1">
      <c r="B31" s="20"/>
      <c r="C31" s="65"/>
      <c r="D31" s="208" t="s">
        <v>154</v>
      </c>
      <c r="E31" s="209"/>
      <c r="F31" s="210" t="s">
        <v>10</v>
      </c>
      <c r="G31" s="211"/>
      <c r="H31" s="210" t="s">
        <v>11</v>
      </c>
      <c r="I31" s="212"/>
      <c r="J31" s="163"/>
      <c r="K31" s="163"/>
      <c r="L31" s="24"/>
      <c r="M31" s="9"/>
      <c r="N31" s="238"/>
      <c r="O31" s="238"/>
      <c r="P31" s="238"/>
      <c r="Q31" s="238"/>
    </row>
    <row r="32" spans="2:17">
      <c r="B32" s="21" t="s">
        <v>12</v>
      </c>
      <c r="C32" s="67"/>
      <c r="D32" s="203">
        <f>F32+H32</f>
        <v>73044.509999999995</v>
      </c>
      <c r="E32" s="204"/>
      <c r="F32" s="203">
        <f>19871.42+22325.31+8958.36</f>
        <v>51155.09</v>
      </c>
      <c r="G32" s="204"/>
      <c r="H32" s="203">
        <f>G24</f>
        <v>21889.42</v>
      </c>
      <c r="I32" s="213"/>
      <c r="J32" s="162"/>
      <c r="K32" s="162"/>
      <c r="L32" s="10"/>
      <c r="M32" s="10"/>
      <c r="N32" s="234"/>
      <c r="O32" s="234"/>
      <c r="P32" s="234"/>
      <c r="Q32" s="234"/>
    </row>
    <row r="33" spans="2:17">
      <c r="B33" s="21" t="s">
        <v>13</v>
      </c>
      <c r="C33" s="67"/>
      <c r="D33" s="203">
        <f>F33+H33</f>
        <v>72201.34</v>
      </c>
      <c r="E33" s="204"/>
      <c r="F33" s="203">
        <f>19610.68+22032.38+8956.07</f>
        <v>50599.13</v>
      </c>
      <c r="G33" s="204"/>
      <c r="H33" s="203">
        <f>21602.21</f>
        <v>21602.21</v>
      </c>
      <c r="I33" s="213"/>
      <c r="J33" s="162"/>
      <c r="K33" s="162"/>
      <c r="L33" s="25"/>
      <c r="M33" s="10"/>
      <c r="N33" s="234"/>
      <c r="O33" s="234"/>
      <c r="P33" s="234"/>
      <c r="Q33" s="234"/>
    </row>
    <row r="34" spans="2:17" ht="16.5" thickBot="1">
      <c r="B34" s="22" t="s">
        <v>114</v>
      </c>
      <c r="C34" s="69"/>
      <c r="D34" s="205">
        <f>F34+H34</f>
        <v>53880.501000000004</v>
      </c>
      <c r="E34" s="206"/>
      <c r="F34" s="205">
        <f>H16+H17+H18+H19+H20+H21+H22+H23+H25+H26+H27</f>
        <v>52863.501000000004</v>
      </c>
      <c r="G34" s="206"/>
      <c r="H34" s="205">
        <f>H24</f>
        <v>1017</v>
      </c>
      <c r="I34" s="214"/>
      <c r="J34" s="162"/>
      <c r="K34" s="162"/>
      <c r="L34" s="10"/>
      <c r="M34" s="10"/>
      <c r="N34" s="234"/>
      <c r="O34" s="234"/>
      <c r="P34" s="234"/>
      <c r="Q34" s="234"/>
    </row>
    <row r="35" spans="2:17" ht="27" thickBot="1">
      <c r="B35" s="23" t="s">
        <v>115</v>
      </c>
      <c r="C35" s="72"/>
      <c r="D35" s="184">
        <f>F35+H35</f>
        <v>18320.838999999993</v>
      </c>
      <c r="E35" s="185"/>
      <c r="F35" s="182">
        <f>F33-F34</f>
        <v>-2264.3710000000065</v>
      </c>
      <c r="G35" s="183"/>
      <c r="H35" s="182">
        <f>H33-H34</f>
        <v>20585.21</v>
      </c>
      <c r="I35" s="202"/>
      <c r="J35" s="162"/>
      <c r="K35" s="162"/>
      <c r="L35" s="10"/>
      <c r="M35" s="10"/>
      <c r="N35" s="234"/>
      <c r="O35" s="234"/>
      <c r="P35" s="234"/>
      <c r="Q35" s="234"/>
    </row>
    <row r="36" spans="2:17" ht="34.5" customHeight="1">
      <c r="B36" s="157" t="s">
        <v>116</v>
      </c>
      <c r="C36" s="157"/>
      <c r="D36" s="136"/>
      <c r="E36" s="180" t="s">
        <v>117</v>
      </c>
      <c r="F36" s="180"/>
      <c r="G36" s="178" t="s">
        <v>14</v>
      </c>
      <c r="H36" s="178"/>
      <c r="I36" s="157"/>
      <c r="J36" s="157"/>
      <c r="K36" s="157"/>
      <c r="L36" s="8"/>
      <c r="M36" s="8"/>
      <c r="N36" s="237"/>
      <c r="O36" s="237"/>
      <c r="P36" s="237"/>
      <c r="Q36" s="237"/>
    </row>
    <row r="37" spans="2:17" ht="11.25" customHeight="1">
      <c r="B37" s="157"/>
      <c r="C37" s="157"/>
      <c r="D37" s="157"/>
      <c r="E37" s="179" t="s">
        <v>15</v>
      </c>
      <c r="F37" s="179"/>
      <c r="G37" s="181"/>
      <c r="H37" s="181"/>
      <c r="I37" s="158"/>
      <c r="J37" s="158"/>
      <c r="K37" s="158"/>
      <c r="L37" s="8"/>
      <c r="M37" s="8"/>
      <c r="N37" s="237"/>
      <c r="O37" s="237"/>
      <c r="P37" s="237"/>
      <c r="Q37" s="237"/>
    </row>
    <row r="38" spans="2:17">
      <c r="B38" s="157" t="s">
        <v>118</v>
      </c>
      <c r="C38" s="157"/>
      <c r="D38" s="157"/>
      <c r="E38" s="177" t="s">
        <v>117</v>
      </c>
      <c r="F38" s="177"/>
      <c r="G38" s="178" t="s">
        <v>131</v>
      </c>
      <c r="H38" s="178"/>
      <c r="I38" s="157"/>
      <c r="J38" s="157"/>
      <c r="K38" s="157"/>
      <c r="L38" s="8"/>
      <c r="M38" s="8"/>
      <c r="N38" s="237"/>
      <c r="O38" s="237"/>
      <c r="P38" s="237"/>
      <c r="Q38" s="237"/>
    </row>
    <row r="39" spans="2:17" ht="9.75" customHeight="1">
      <c r="B39" s="157"/>
      <c r="C39" s="157"/>
      <c r="D39" s="157"/>
      <c r="E39" s="179" t="s">
        <v>15</v>
      </c>
      <c r="F39" s="179"/>
      <c r="G39" s="178"/>
      <c r="H39" s="178"/>
      <c r="I39" s="157"/>
      <c r="J39" s="157"/>
      <c r="K39" s="157"/>
      <c r="N39" s="234"/>
      <c r="O39" s="234"/>
      <c r="P39" s="234"/>
      <c r="Q39" s="234"/>
    </row>
    <row r="40" spans="2:17">
      <c r="B40" s="157" t="s">
        <v>119</v>
      </c>
      <c r="C40" s="157"/>
      <c r="D40" s="157"/>
      <c r="E40" s="177" t="s">
        <v>117</v>
      </c>
      <c r="F40" s="177"/>
      <c r="G40" s="178" t="s">
        <v>157</v>
      </c>
      <c r="H40" s="178"/>
      <c r="I40" s="157"/>
      <c r="J40" s="157"/>
      <c r="K40" s="157"/>
      <c r="N40" s="234"/>
      <c r="O40" s="234"/>
      <c r="P40" s="234"/>
      <c r="Q40" s="234"/>
    </row>
    <row r="41" spans="2:17" ht="8.25" customHeight="1">
      <c r="B41" s="27"/>
      <c r="C41" s="27"/>
      <c r="D41" s="27"/>
      <c r="E41" s="179" t="s">
        <v>15</v>
      </c>
      <c r="F41" s="179"/>
      <c r="G41" s="160"/>
      <c r="H41" s="137"/>
      <c r="I41" s="161"/>
      <c r="J41" s="161"/>
      <c r="K41" s="161"/>
      <c r="N41" s="234"/>
      <c r="O41" s="234"/>
      <c r="P41" s="234"/>
      <c r="Q41" s="234"/>
    </row>
    <row r="42" spans="2:17">
      <c r="B42" s="157" t="s">
        <v>120</v>
      </c>
      <c r="C42" s="157"/>
      <c r="D42" s="157"/>
      <c r="E42" s="177" t="s">
        <v>117</v>
      </c>
      <c r="F42" s="177"/>
      <c r="G42" s="178" t="s">
        <v>93</v>
      </c>
      <c r="H42" s="178"/>
    </row>
    <row r="43" spans="2:17" ht="9" customHeight="1">
      <c r="B43" s="138"/>
      <c r="C43" s="138"/>
      <c r="D43" s="138"/>
      <c r="E43" s="179" t="s">
        <v>15</v>
      </c>
      <c r="F43" s="179"/>
      <c r="G43" s="179"/>
      <c r="H43" s="179"/>
    </row>
  </sheetData>
  <mergeCells count="42">
    <mergeCell ref="E43:F43"/>
    <mergeCell ref="G43:H43"/>
    <mergeCell ref="G39:H39"/>
    <mergeCell ref="E40:F40"/>
    <mergeCell ref="G40:H40"/>
    <mergeCell ref="E41:F41"/>
    <mergeCell ref="E42:F42"/>
    <mergeCell ref="G42:H42"/>
    <mergeCell ref="E39:F39"/>
    <mergeCell ref="G36:H36"/>
    <mergeCell ref="E37:F37"/>
    <mergeCell ref="G37:H37"/>
    <mergeCell ref="E38:F38"/>
    <mergeCell ref="G38:H38"/>
    <mergeCell ref="E36:F36"/>
    <mergeCell ref="D33:E33"/>
    <mergeCell ref="F33:G33"/>
    <mergeCell ref="H33:I33"/>
    <mergeCell ref="H34:I34"/>
    <mergeCell ref="H35:I35"/>
    <mergeCell ref="D35:E35"/>
    <mergeCell ref="F34:G34"/>
    <mergeCell ref="F35:G35"/>
    <mergeCell ref="D34:E34"/>
    <mergeCell ref="B2:I3"/>
    <mergeCell ref="B13:I13"/>
    <mergeCell ref="B14:B15"/>
    <mergeCell ref="C14:C15"/>
    <mergeCell ref="D14:D15"/>
    <mergeCell ref="E14:E15"/>
    <mergeCell ref="F14:F15"/>
    <mergeCell ref="G14:H14"/>
    <mergeCell ref="I14:I15"/>
    <mergeCell ref="D5:F5"/>
    <mergeCell ref="D12:E12"/>
    <mergeCell ref="B30:I30"/>
    <mergeCell ref="D31:E31"/>
    <mergeCell ref="F31:G31"/>
    <mergeCell ref="H31:I31"/>
    <mergeCell ref="D32:E32"/>
    <mergeCell ref="F32:G32"/>
    <mergeCell ref="H32:I32"/>
  </mergeCells>
  <printOptions horizontalCentered="1"/>
  <pageMargins left="0.19685039370078741" right="0.19685039370078741" top="0.15748031496062992" bottom="0.23622047244094491" header="0.31496062992125984" footer="0.31496062992125984"/>
  <pageSetup paperSize="9" scale="44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43"/>
  <sheetViews>
    <sheetView zoomScale="110" zoomScaleNormal="110" workbookViewId="0">
      <selection activeCell="B1" sqref="B1:I1"/>
    </sheetView>
  </sheetViews>
  <sheetFormatPr defaultColWidth="9.140625" defaultRowHeight="15.75" outlineLevelRow="1"/>
  <cols>
    <col min="1" max="1" width="2.85546875" style="1" customWidth="1"/>
    <col min="2" max="2" width="54.28515625" style="1" customWidth="1"/>
    <col min="3" max="3" width="12.7109375" style="29" customWidth="1"/>
    <col min="4" max="4" width="8.5703125" style="2" customWidth="1"/>
    <col min="5" max="5" width="10.85546875" style="2" customWidth="1"/>
    <col min="6" max="6" width="10.28515625" style="2" customWidth="1"/>
    <col min="7" max="7" width="9.5703125" style="1" customWidth="1"/>
    <col min="8" max="8" width="10.42578125" style="1" customWidth="1"/>
    <col min="9" max="9" width="11.140625" style="1" customWidth="1"/>
    <col min="10" max="10" width="12.28515625" style="1" customWidth="1"/>
    <col min="11" max="13" width="9.140625" style="1"/>
    <col min="14" max="14" width="14.28515625" style="232" customWidth="1"/>
    <col min="15" max="15" width="13.5703125" style="232" customWidth="1"/>
    <col min="16" max="16" width="15.5703125" style="232" customWidth="1"/>
    <col min="17" max="17" width="16.140625" style="232" customWidth="1"/>
    <col min="18" max="19" width="9.140625" style="232"/>
    <col min="20" max="16384" width="9.140625" style="1"/>
  </cols>
  <sheetData>
    <row r="1" spans="1:18">
      <c r="B1" s="137"/>
      <c r="C1" s="137"/>
      <c r="D1" s="137"/>
      <c r="E1" s="137"/>
      <c r="F1" s="137"/>
      <c r="G1" s="137"/>
      <c r="H1" s="137"/>
      <c r="I1" s="137"/>
    </row>
    <row r="2" spans="1:18" ht="19.5" customHeight="1">
      <c r="A2" s="18"/>
      <c r="B2" s="186" t="s">
        <v>161</v>
      </c>
      <c r="C2" s="186"/>
      <c r="D2" s="186"/>
      <c r="E2" s="186"/>
      <c r="F2" s="186"/>
      <c r="G2" s="186"/>
      <c r="H2" s="186"/>
      <c r="I2" s="186"/>
    </row>
    <row r="3" spans="1:18" ht="20.25" customHeight="1">
      <c r="A3" s="18"/>
      <c r="B3" s="186"/>
      <c r="C3" s="186"/>
      <c r="D3" s="186"/>
      <c r="E3" s="186"/>
      <c r="F3" s="186"/>
      <c r="G3" s="186"/>
      <c r="H3" s="186"/>
      <c r="I3" s="186"/>
    </row>
    <row r="4" spans="1:18" ht="12.75" customHeight="1"/>
    <row r="5" spans="1:18">
      <c r="B5" s="1" t="s">
        <v>0</v>
      </c>
      <c r="D5" s="200" t="s">
        <v>60</v>
      </c>
      <c r="E5" s="200"/>
      <c r="F5" s="200"/>
    </row>
    <row r="6" spans="1:18">
      <c r="B6" s="1" t="s">
        <v>1</v>
      </c>
      <c r="D6" s="13">
        <v>1958</v>
      </c>
      <c r="E6" s="13"/>
      <c r="F6" s="13"/>
    </row>
    <row r="7" spans="1:18" hidden="1" outlineLevel="1">
      <c r="B7" s="1" t="s">
        <v>2</v>
      </c>
      <c r="D7" s="13">
        <v>2</v>
      </c>
      <c r="E7" s="13"/>
      <c r="F7" s="13"/>
    </row>
    <row r="8" spans="1:18" hidden="1" outlineLevel="1">
      <c r="B8" s="1" t="s">
        <v>3</v>
      </c>
      <c r="D8" s="13">
        <v>12</v>
      </c>
      <c r="E8" s="13"/>
      <c r="F8" s="13"/>
    </row>
    <row r="9" spans="1:18" ht="30.75" hidden="1" customHeight="1" outlineLevel="1">
      <c r="B9" s="4" t="s">
        <v>4</v>
      </c>
      <c r="C9" s="37"/>
      <c r="D9" s="13" t="s">
        <v>61</v>
      </c>
      <c r="E9" s="13"/>
      <c r="F9" s="13"/>
    </row>
    <row r="10" spans="1:18" collapsed="1">
      <c r="B10" s="1" t="s">
        <v>5</v>
      </c>
      <c r="D10" s="13" t="s">
        <v>62</v>
      </c>
      <c r="E10" s="13"/>
      <c r="F10" s="13"/>
      <c r="J10" s="6"/>
    </row>
    <row r="11" spans="1:18" hidden="1" outlineLevel="1">
      <c r="B11" s="1" t="s">
        <v>6</v>
      </c>
      <c r="D11" s="13" t="s">
        <v>7</v>
      </c>
      <c r="E11" s="13"/>
      <c r="F11" s="13"/>
    </row>
    <row r="12" spans="1:18" ht="30.75" hidden="1" customHeight="1" outlineLevel="1">
      <c r="B12" s="4" t="s">
        <v>8</v>
      </c>
      <c r="C12" s="37"/>
      <c r="D12" s="201" t="s">
        <v>63</v>
      </c>
      <c r="E12" s="201"/>
      <c r="F12" s="13"/>
      <c r="J12" s="6"/>
    </row>
    <row r="13" spans="1:18" ht="31.5" customHeight="1" collapsed="1" thickBot="1">
      <c r="B13" s="187" t="s">
        <v>132</v>
      </c>
      <c r="C13" s="187"/>
      <c r="D13" s="187"/>
      <c r="E13" s="187"/>
      <c r="F13" s="187"/>
      <c r="G13" s="187"/>
      <c r="H13" s="187"/>
      <c r="I13" s="187"/>
      <c r="J13" s="124"/>
      <c r="K13" s="124"/>
      <c r="M13" s="6"/>
      <c r="N13" s="233" t="s">
        <v>133</v>
      </c>
      <c r="O13" s="233" t="s">
        <v>134</v>
      </c>
      <c r="P13" s="233" t="s">
        <v>135</v>
      </c>
      <c r="Q13" s="233" t="s">
        <v>136</v>
      </c>
    </row>
    <row r="14" spans="1:18" ht="27.75" customHeight="1">
      <c r="B14" s="188" t="s">
        <v>137</v>
      </c>
      <c r="C14" s="190" t="s">
        <v>138</v>
      </c>
      <c r="D14" s="190" t="s">
        <v>139</v>
      </c>
      <c r="E14" s="192" t="s">
        <v>140</v>
      </c>
      <c r="F14" s="194" t="s">
        <v>141</v>
      </c>
      <c r="G14" s="196" t="s">
        <v>142</v>
      </c>
      <c r="H14" s="197"/>
      <c r="I14" s="198" t="s">
        <v>163</v>
      </c>
      <c r="J14" s="125"/>
      <c r="K14" s="125"/>
      <c r="M14" s="6"/>
      <c r="N14" s="233"/>
      <c r="O14" s="233"/>
      <c r="P14" s="233"/>
      <c r="Q14" s="233"/>
    </row>
    <row r="15" spans="1:18" ht="45" customHeight="1" thickBot="1">
      <c r="B15" s="189"/>
      <c r="C15" s="191"/>
      <c r="D15" s="191"/>
      <c r="E15" s="193"/>
      <c r="F15" s="195"/>
      <c r="G15" s="48" t="s">
        <v>121</v>
      </c>
      <c r="H15" s="49" t="s">
        <v>122</v>
      </c>
      <c r="I15" s="199"/>
      <c r="J15" s="125"/>
      <c r="K15" s="125"/>
      <c r="N15" s="234">
        <v>26381.58</v>
      </c>
      <c r="O15" s="234">
        <v>29718.19</v>
      </c>
      <c r="P15" s="234">
        <f>31700.54*0.83</f>
        <v>26311.448199999999</v>
      </c>
      <c r="Q15" s="234">
        <f>35448.13*0.83</f>
        <v>29421.947899999996</v>
      </c>
      <c r="R15" s="232">
        <f>(N15+O15)/(P15+Q15)*100</f>
        <v>100.65736869747295</v>
      </c>
    </row>
    <row r="16" spans="1:18" ht="50.25" customHeight="1">
      <c r="B16" s="110" t="s">
        <v>143</v>
      </c>
      <c r="C16" s="51" t="s">
        <v>144</v>
      </c>
      <c r="D16" s="52" t="s">
        <v>145</v>
      </c>
      <c r="E16" s="53">
        <v>0</v>
      </c>
      <c r="F16" s="54">
        <v>0</v>
      </c>
      <c r="G16" s="55">
        <f>($N$15/$N$16*E16)+($O$15/$O$16*F16)</f>
        <v>0</v>
      </c>
      <c r="H16" s="56">
        <f>($P$15/$P$16*E16)+($Q$15/$Q$16*F16)</f>
        <v>0</v>
      </c>
      <c r="I16" s="57">
        <f>H16-G16</f>
        <v>0</v>
      </c>
      <c r="J16" s="126"/>
      <c r="K16" s="126"/>
      <c r="L16" s="7"/>
      <c r="M16" s="58"/>
      <c r="N16" s="235">
        <v>6.95</v>
      </c>
      <c r="O16" s="234">
        <v>7.93</v>
      </c>
      <c r="P16" s="235">
        <v>6.95</v>
      </c>
      <c r="Q16" s="234">
        <v>7.93</v>
      </c>
    </row>
    <row r="17" spans="2:17" ht="51">
      <c r="B17" s="127" t="s">
        <v>129</v>
      </c>
      <c r="C17" s="51" t="s">
        <v>144</v>
      </c>
      <c r="D17" s="52" t="s">
        <v>145</v>
      </c>
      <c r="E17" s="41">
        <v>0</v>
      </c>
      <c r="F17" s="168">
        <v>0</v>
      </c>
      <c r="G17" s="55">
        <f t="shared" ref="G17:G27" si="0">($N$15/$N$16*E17)+($O$15/$O$16*F17)</f>
        <v>0</v>
      </c>
      <c r="H17" s="56">
        <f t="shared" ref="H17:H21" si="1">($P$15/$P$16*E17)+($Q$15/$Q$16*F17)</f>
        <v>0</v>
      </c>
      <c r="I17" s="57">
        <f t="shared" ref="I17:I27" si="2">H17-G17</f>
        <v>0</v>
      </c>
      <c r="J17" s="126"/>
      <c r="K17" s="126"/>
      <c r="L17" s="8"/>
      <c r="M17" s="8"/>
      <c r="N17" s="236"/>
      <c r="O17" s="237"/>
      <c r="P17" s="237"/>
      <c r="Q17" s="237"/>
    </row>
    <row r="18" spans="2:17" ht="52.5" customHeight="1">
      <c r="B18" s="62" t="s">
        <v>123</v>
      </c>
      <c r="C18" s="51" t="s">
        <v>144</v>
      </c>
      <c r="D18" s="52" t="s">
        <v>145</v>
      </c>
      <c r="E18" s="41">
        <v>0.28000000000000003</v>
      </c>
      <c r="F18" s="168">
        <v>0.27</v>
      </c>
      <c r="G18" s="55">
        <f t="shared" si="0"/>
        <v>2074.6975562611706</v>
      </c>
      <c r="H18" s="56">
        <f t="shared" si="1"/>
        <v>2061.7856753359883</v>
      </c>
      <c r="I18" s="57">
        <f t="shared" si="2"/>
        <v>-12.911880925182231</v>
      </c>
      <c r="J18" s="126"/>
      <c r="K18" s="126"/>
      <c r="M18" s="6"/>
      <c r="N18" s="234"/>
      <c r="O18" s="234"/>
      <c r="P18" s="234"/>
      <c r="Q18" s="234"/>
    </row>
    <row r="19" spans="2:17" ht="25.5">
      <c r="B19" s="62" t="s">
        <v>146</v>
      </c>
      <c r="C19" s="59" t="s">
        <v>147</v>
      </c>
      <c r="D19" s="52" t="s">
        <v>145</v>
      </c>
      <c r="E19" s="41">
        <v>0</v>
      </c>
      <c r="F19" s="168">
        <v>0</v>
      </c>
      <c r="G19" s="55">
        <f t="shared" si="0"/>
        <v>0</v>
      </c>
      <c r="H19" s="56">
        <f t="shared" si="1"/>
        <v>0</v>
      </c>
      <c r="I19" s="57">
        <f t="shared" si="2"/>
        <v>0</v>
      </c>
      <c r="J19" s="126"/>
      <c r="K19" s="126"/>
      <c r="M19" s="6"/>
      <c r="N19" s="234"/>
      <c r="O19" s="234"/>
      <c r="P19" s="234"/>
      <c r="Q19" s="234"/>
    </row>
    <row r="20" spans="2:17" ht="51">
      <c r="B20" s="127" t="s">
        <v>124</v>
      </c>
      <c r="C20" s="51" t="s">
        <v>144</v>
      </c>
      <c r="D20" s="52" t="s">
        <v>145</v>
      </c>
      <c r="E20" s="41">
        <v>1.1399999999999999</v>
      </c>
      <c r="F20" s="168">
        <v>1.33</v>
      </c>
      <c r="G20" s="55">
        <f t="shared" si="0"/>
        <v>9311.5996766853859</v>
      </c>
      <c r="H20" s="56">
        <f t="shared" si="1"/>
        <v>9250.4110504919845</v>
      </c>
      <c r="I20" s="57">
        <f t="shared" si="2"/>
        <v>-61.188626193401433</v>
      </c>
      <c r="J20" s="126"/>
      <c r="K20" s="126"/>
      <c r="N20" s="234"/>
      <c r="O20" s="234"/>
      <c r="P20" s="234"/>
      <c r="Q20" s="234"/>
    </row>
    <row r="21" spans="2:17" ht="145.5" customHeight="1">
      <c r="B21" s="127" t="s">
        <v>125</v>
      </c>
      <c r="C21" s="51" t="s">
        <v>148</v>
      </c>
      <c r="D21" s="52" t="s">
        <v>145</v>
      </c>
      <c r="E21" s="41">
        <v>3.67</v>
      </c>
      <c r="F21" s="168">
        <v>3.33</v>
      </c>
      <c r="G21" s="55">
        <f t="shared" si="0"/>
        <v>26410.383865350595</v>
      </c>
      <c r="H21" s="56">
        <f t="shared" si="1"/>
        <v>26248.950970870472</v>
      </c>
      <c r="I21" s="57">
        <f t="shared" si="2"/>
        <v>-161.43289448012365</v>
      </c>
      <c r="J21" s="126"/>
      <c r="K21" s="126"/>
      <c r="L21" s="8"/>
      <c r="M21" s="60"/>
      <c r="N21" s="237"/>
      <c r="O21" s="237"/>
      <c r="P21" s="237"/>
      <c r="Q21" s="237"/>
    </row>
    <row r="22" spans="2:17" ht="27.75" customHeight="1">
      <c r="B22" s="62" t="s">
        <v>149</v>
      </c>
      <c r="C22" s="51" t="s">
        <v>147</v>
      </c>
      <c r="D22" s="52" t="s">
        <v>145</v>
      </c>
      <c r="E22" s="41">
        <v>1.94</v>
      </c>
      <c r="F22" s="168">
        <v>2</v>
      </c>
      <c r="G22" s="55">
        <v>14430.72</v>
      </c>
      <c r="H22" s="40">
        <v>14650.74</v>
      </c>
      <c r="I22" s="57">
        <f t="shared" si="2"/>
        <v>220.02000000000044</v>
      </c>
      <c r="J22" s="126"/>
      <c r="K22" s="126"/>
      <c r="N22" s="234"/>
      <c r="O22" s="234"/>
      <c r="P22" s="234"/>
      <c r="Q22" s="234"/>
    </row>
    <row r="23" spans="2:17" ht="108.75" customHeight="1">
      <c r="B23" s="127" t="s">
        <v>150</v>
      </c>
      <c r="C23" s="51" t="s">
        <v>144</v>
      </c>
      <c r="D23" s="52" t="s">
        <v>145</v>
      </c>
      <c r="E23" s="41">
        <v>0.22</v>
      </c>
      <c r="F23" s="168">
        <v>0.21</v>
      </c>
      <c r="G23" s="55">
        <f t="shared" si="0"/>
        <v>1622.0890121839477</v>
      </c>
      <c r="H23" s="56">
        <f t="shared" ref="H23" si="3">($P$15/$P$16*E23)+($Q$15/$Q$16*F23)</f>
        <v>1612.0240138944177</v>
      </c>
      <c r="I23" s="57">
        <f t="shared" si="2"/>
        <v>-10.064998289529967</v>
      </c>
      <c r="J23" s="126"/>
      <c r="K23" s="126"/>
      <c r="N23" s="234"/>
      <c r="O23" s="234"/>
      <c r="P23" s="234"/>
      <c r="Q23" s="234"/>
    </row>
    <row r="24" spans="2:17" ht="48">
      <c r="B24" s="62" t="s">
        <v>151</v>
      </c>
      <c r="C24" s="51" t="s">
        <v>144</v>
      </c>
      <c r="D24" s="52" t="s">
        <v>145</v>
      </c>
      <c r="E24" s="41">
        <v>1.5</v>
      </c>
      <c r="F24" s="168">
        <v>3</v>
      </c>
      <c r="G24" s="55">
        <v>17081.599999999999</v>
      </c>
      <c r="H24" s="128">
        <v>0</v>
      </c>
      <c r="I24" s="57">
        <f t="shared" si="2"/>
        <v>-17081.599999999999</v>
      </c>
      <c r="J24" s="126"/>
      <c r="K24" s="126"/>
      <c r="M24" s="6"/>
      <c r="N24" s="234"/>
      <c r="O24" s="234"/>
      <c r="P24" s="234"/>
      <c r="Q24" s="234"/>
    </row>
    <row r="25" spans="2:17" ht="63.75">
      <c r="B25" s="127" t="s">
        <v>152</v>
      </c>
      <c r="C25" s="59" t="s">
        <v>148</v>
      </c>
      <c r="D25" s="52" t="s">
        <v>145</v>
      </c>
      <c r="E25" s="41">
        <v>0.71</v>
      </c>
      <c r="F25" s="168">
        <v>1.44</v>
      </c>
      <c r="G25" s="55">
        <f t="shared" si="0"/>
        <v>8091.5901801554974</v>
      </c>
      <c r="H25" s="56">
        <f>($P$15/$P$16*E25)+($Q$15/$Q$16*F25)</f>
        <v>8030.6313586264696</v>
      </c>
      <c r="I25" s="57">
        <f t="shared" si="2"/>
        <v>-60.958821529027773</v>
      </c>
      <c r="J25" s="126"/>
      <c r="K25" s="126"/>
      <c r="L25" s="172"/>
      <c r="M25" s="6"/>
      <c r="N25" s="234"/>
      <c r="O25" s="234"/>
      <c r="P25" s="234"/>
      <c r="Q25" s="234"/>
    </row>
    <row r="26" spans="2:17" ht="63.75">
      <c r="B26" s="127" t="s">
        <v>126</v>
      </c>
      <c r="C26" s="59" t="s">
        <v>148</v>
      </c>
      <c r="D26" s="52" t="s">
        <v>145</v>
      </c>
      <c r="E26" s="41">
        <v>0.25</v>
      </c>
      <c r="F26" s="168">
        <v>0.83</v>
      </c>
      <c r="G26" s="55">
        <f t="shared" si="0"/>
        <v>4059.4566007421049</v>
      </c>
      <c r="H26" s="56">
        <f t="shared" ref="H26:H27" si="4">($P$15/$P$16*E26)+($Q$15/$Q$16*F26)</f>
        <v>4025.9274500376487</v>
      </c>
      <c r="I26" s="57">
        <f t="shared" si="2"/>
        <v>-33.529150704456242</v>
      </c>
      <c r="J26" s="126"/>
      <c r="K26" s="126"/>
      <c r="L26" s="64"/>
      <c r="M26" s="6"/>
      <c r="N26" s="238"/>
      <c r="O26" s="238"/>
      <c r="P26" s="234"/>
      <c r="Q26" s="234"/>
    </row>
    <row r="27" spans="2:17">
      <c r="B27" s="62" t="s">
        <v>127</v>
      </c>
      <c r="C27" s="129" t="s">
        <v>148</v>
      </c>
      <c r="D27" s="52" t="s">
        <v>145</v>
      </c>
      <c r="E27" s="41">
        <v>0.68</v>
      </c>
      <c r="F27" s="168">
        <v>0.52</v>
      </c>
      <c r="G27" s="55">
        <f t="shared" si="0"/>
        <v>4529.9531086213001</v>
      </c>
      <c r="H27" s="56">
        <f t="shared" si="4"/>
        <v>4503.6655807430125</v>
      </c>
      <c r="I27" s="57">
        <f t="shared" si="2"/>
        <v>-26.287527878287619</v>
      </c>
      <c r="J27" s="126"/>
      <c r="K27" s="126"/>
      <c r="N27" s="234"/>
      <c r="O27" s="234"/>
      <c r="P27" s="234"/>
      <c r="Q27" s="234"/>
    </row>
    <row r="28" spans="2:17" ht="16.5" thickBot="1">
      <c r="B28" s="33" t="s">
        <v>128</v>
      </c>
      <c r="C28" s="130"/>
      <c r="D28" s="130"/>
      <c r="E28" s="34">
        <f>SUM(E16:E27)</f>
        <v>10.39</v>
      </c>
      <c r="F28" s="131">
        <f>SUM(F16:F27)</f>
        <v>12.93</v>
      </c>
      <c r="G28" s="132">
        <f>SUM(G16:G27)</f>
        <v>87612.090000000011</v>
      </c>
      <c r="H28" s="133">
        <f>SUM(H16:H27)</f>
        <v>70384.136099999989</v>
      </c>
      <c r="I28" s="134">
        <f>H28-G28</f>
        <v>-17227.953900000022</v>
      </c>
      <c r="J28" s="135"/>
      <c r="K28" s="135"/>
      <c r="N28" s="234"/>
      <c r="O28" s="234"/>
      <c r="P28" s="234"/>
      <c r="Q28" s="234"/>
    </row>
    <row r="29" spans="2:17">
      <c r="B29" s="6"/>
      <c r="C29" s="6"/>
      <c r="D29" s="6"/>
      <c r="E29" s="29"/>
      <c r="F29" s="29"/>
      <c r="G29" s="29"/>
      <c r="H29" s="29"/>
      <c r="I29" s="2"/>
      <c r="J29" s="2"/>
      <c r="K29" s="2"/>
      <c r="N29" s="234"/>
      <c r="O29" s="234"/>
      <c r="P29" s="234"/>
      <c r="Q29" s="234"/>
    </row>
    <row r="30" spans="2:17" ht="16.5" thickBot="1">
      <c r="B30" s="207" t="s">
        <v>153</v>
      </c>
      <c r="C30" s="207"/>
      <c r="D30" s="207"/>
      <c r="E30" s="207"/>
      <c r="F30" s="207"/>
      <c r="G30" s="207"/>
      <c r="H30" s="207"/>
      <c r="I30" s="207"/>
      <c r="J30" s="167"/>
      <c r="K30" s="167"/>
      <c r="N30" s="234"/>
      <c r="O30" s="234"/>
      <c r="P30" s="234"/>
      <c r="Q30" s="234"/>
    </row>
    <row r="31" spans="2:17" ht="44.25" customHeight="1">
      <c r="B31" s="20"/>
      <c r="C31" s="65"/>
      <c r="D31" s="208" t="s">
        <v>154</v>
      </c>
      <c r="E31" s="209"/>
      <c r="F31" s="210" t="s">
        <v>10</v>
      </c>
      <c r="G31" s="211"/>
      <c r="H31" s="210" t="s">
        <v>11</v>
      </c>
      <c r="I31" s="212"/>
      <c r="J31" s="172"/>
      <c r="K31" s="172"/>
      <c r="L31" s="24"/>
      <c r="M31" s="9"/>
      <c r="N31" s="238"/>
      <c r="O31" s="238"/>
      <c r="P31" s="238"/>
      <c r="Q31" s="238"/>
    </row>
    <row r="32" spans="2:17">
      <c r="B32" s="21" t="s">
        <v>12</v>
      </c>
      <c r="C32" s="67"/>
      <c r="D32" s="203">
        <f>F32+H32</f>
        <v>87612.09</v>
      </c>
      <c r="E32" s="204"/>
      <c r="F32" s="203">
        <f>26381.58+29718.19+14430.72</f>
        <v>70530.490000000005</v>
      </c>
      <c r="G32" s="204"/>
      <c r="H32" s="203">
        <f>G24</f>
        <v>17081.599999999999</v>
      </c>
      <c r="I32" s="213"/>
      <c r="J32" s="173"/>
      <c r="K32" s="173"/>
      <c r="L32" s="10"/>
      <c r="M32" s="10"/>
      <c r="N32" s="234"/>
      <c r="O32" s="234"/>
      <c r="P32" s="234"/>
      <c r="Q32" s="234"/>
    </row>
    <row r="33" spans="2:17">
      <c r="B33" s="21" t="s">
        <v>13</v>
      </c>
      <c r="C33" s="67"/>
      <c r="D33" s="203">
        <f>F33+H33</f>
        <v>97811.65</v>
      </c>
      <c r="E33" s="204"/>
      <c r="F33" s="203">
        <f>29596.73+33339.97+15711.6</f>
        <v>78648.3</v>
      </c>
      <c r="G33" s="204"/>
      <c r="H33" s="203">
        <v>19163.349999999999</v>
      </c>
      <c r="I33" s="213"/>
      <c r="J33" s="173"/>
      <c r="K33" s="173"/>
      <c r="L33" s="25"/>
      <c r="M33" s="10"/>
      <c r="N33" s="234"/>
      <c r="O33" s="234"/>
      <c r="P33" s="234"/>
      <c r="Q33" s="234"/>
    </row>
    <row r="34" spans="2:17" ht="16.5" thickBot="1">
      <c r="B34" s="22" t="s">
        <v>114</v>
      </c>
      <c r="C34" s="69"/>
      <c r="D34" s="205">
        <f>F34+H34</f>
        <v>70384.136099999989</v>
      </c>
      <c r="E34" s="206"/>
      <c r="F34" s="205">
        <f>H16+H17+H18+H19+H20+H21+H22+H23+H25+H26+H27</f>
        <v>70384.136099999989</v>
      </c>
      <c r="G34" s="206"/>
      <c r="H34" s="205">
        <f>H24</f>
        <v>0</v>
      </c>
      <c r="I34" s="214"/>
      <c r="J34" s="173"/>
      <c r="K34" s="173"/>
      <c r="L34" s="10"/>
      <c r="M34" s="10"/>
      <c r="N34" s="234"/>
      <c r="O34" s="234"/>
      <c r="P34" s="234"/>
      <c r="Q34" s="234"/>
    </row>
    <row r="35" spans="2:17" ht="27" thickBot="1">
      <c r="B35" s="23" t="s">
        <v>115</v>
      </c>
      <c r="C35" s="72"/>
      <c r="D35" s="184">
        <f>F35+H35</f>
        <v>27427.513900000013</v>
      </c>
      <c r="E35" s="185"/>
      <c r="F35" s="182">
        <f>F33-F34</f>
        <v>8264.1639000000141</v>
      </c>
      <c r="G35" s="183"/>
      <c r="H35" s="182">
        <f>H33-H34</f>
        <v>19163.349999999999</v>
      </c>
      <c r="I35" s="202"/>
      <c r="J35" s="173"/>
      <c r="K35" s="173"/>
      <c r="L35" s="10"/>
      <c r="M35" s="10"/>
      <c r="N35" s="234"/>
      <c r="O35" s="234"/>
      <c r="P35" s="234"/>
      <c r="Q35" s="234"/>
    </row>
    <row r="36" spans="2:17" ht="34.5" customHeight="1">
      <c r="B36" s="164" t="s">
        <v>116</v>
      </c>
      <c r="C36" s="164"/>
      <c r="D36" s="136"/>
      <c r="E36" s="180" t="s">
        <v>117</v>
      </c>
      <c r="F36" s="180"/>
      <c r="G36" s="178" t="s">
        <v>14</v>
      </c>
      <c r="H36" s="178"/>
      <c r="I36" s="164"/>
      <c r="J36" s="164"/>
      <c r="K36" s="164"/>
      <c r="L36" s="8"/>
      <c r="M36" s="8"/>
      <c r="N36" s="237"/>
      <c r="O36" s="237"/>
      <c r="P36" s="237"/>
      <c r="Q36" s="237"/>
    </row>
    <row r="37" spans="2:17" ht="11.25" customHeight="1">
      <c r="B37" s="164"/>
      <c r="C37" s="164"/>
      <c r="D37" s="164"/>
      <c r="E37" s="179" t="s">
        <v>15</v>
      </c>
      <c r="F37" s="179"/>
      <c r="G37" s="181"/>
      <c r="H37" s="181"/>
      <c r="I37" s="165"/>
      <c r="J37" s="165"/>
      <c r="K37" s="165"/>
      <c r="L37" s="8"/>
      <c r="M37" s="8"/>
      <c r="N37" s="237"/>
      <c r="O37" s="237"/>
      <c r="P37" s="237"/>
      <c r="Q37" s="237"/>
    </row>
    <row r="38" spans="2:17">
      <c r="B38" s="164" t="s">
        <v>118</v>
      </c>
      <c r="C38" s="164"/>
      <c r="D38" s="164"/>
      <c r="E38" s="177" t="s">
        <v>117</v>
      </c>
      <c r="F38" s="177"/>
      <c r="G38" s="178" t="s">
        <v>131</v>
      </c>
      <c r="H38" s="178"/>
      <c r="I38" s="164"/>
      <c r="J38" s="164"/>
      <c r="K38" s="164"/>
      <c r="L38" s="8"/>
      <c r="M38" s="8"/>
      <c r="N38" s="237"/>
      <c r="O38" s="237"/>
      <c r="P38" s="237"/>
      <c r="Q38" s="237"/>
    </row>
    <row r="39" spans="2:17" ht="9.75" customHeight="1">
      <c r="B39" s="164"/>
      <c r="C39" s="164"/>
      <c r="D39" s="164"/>
      <c r="E39" s="179" t="s">
        <v>15</v>
      </c>
      <c r="F39" s="179"/>
      <c r="G39" s="178"/>
      <c r="H39" s="178"/>
      <c r="I39" s="164"/>
      <c r="J39" s="164"/>
      <c r="K39" s="164"/>
      <c r="N39" s="234"/>
      <c r="O39" s="234"/>
      <c r="P39" s="234"/>
      <c r="Q39" s="234"/>
    </row>
    <row r="40" spans="2:17">
      <c r="B40" s="164" t="s">
        <v>119</v>
      </c>
      <c r="C40" s="164"/>
      <c r="D40" s="164"/>
      <c r="E40" s="177" t="s">
        <v>117</v>
      </c>
      <c r="F40" s="177"/>
      <c r="G40" s="178" t="s">
        <v>157</v>
      </c>
      <c r="H40" s="178"/>
      <c r="I40" s="164"/>
      <c r="J40" s="164"/>
      <c r="K40" s="164"/>
      <c r="N40" s="234"/>
      <c r="O40" s="234"/>
      <c r="P40" s="234"/>
      <c r="Q40" s="234"/>
    </row>
    <row r="41" spans="2:17" ht="8.25" customHeight="1">
      <c r="B41" s="27"/>
      <c r="C41" s="27"/>
      <c r="D41" s="27"/>
      <c r="E41" s="179" t="s">
        <v>15</v>
      </c>
      <c r="F41" s="179"/>
      <c r="G41" s="169"/>
      <c r="H41" s="137"/>
      <c r="I41" s="170"/>
      <c r="J41" s="170"/>
      <c r="K41" s="170"/>
      <c r="N41" s="234"/>
      <c r="O41" s="234"/>
      <c r="P41" s="234"/>
      <c r="Q41" s="234"/>
    </row>
    <row r="42" spans="2:17">
      <c r="B42" s="164" t="s">
        <v>120</v>
      </c>
      <c r="C42" s="164"/>
      <c r="D42" s="164"/>
      <c r="E42" s="177" t="s">
        <v>117</v>
      </c>
      <c r="F42" s="177"/>
      <c r="G42" s="178" t="s">
        <v>93</v>
      </c>
      <c r="H42" s="178"/>
    </row>
    <row r="43" spans="2:17" ht="9" customHeight="1">
      <c r="B43" s="138"/>
      <c r="C43" s="138"/>
      <c r="D43" s="138"/>
      <c r="E43" s="179" t="s">
        <v>15</v>
      </c>
      <c r="F43" s="179"/>
      <c r="G43" s="179"/>
      <c r="H43" s="179"/>
    </row>
  </sheetData>
  <mergeCells count="42">
    <mergeCell ref="H33:I33"/>
    <mergeCell ref="H34:I34"/>
    <mergeCell ref="D32:E32"/>
    <mergeCell ref="D34:E34"/>
    <mergeCell ref="D35:E35"/>
    <mergeCell ref="B30:I30"/>
    <mergeCell ref="D31:E31"/>
    <mergeCell ref="F31:G31"/>
    <mergeCell ref="H31:I31"/>
    <mergeCell ref="H32:I32"/>
    <mergeCell ref="F32:G32"/>
    <mergeCell ref="F33:G33"/>
    <mergeCell ref="F34:G34"/>
    <mergeCell ref="F35:G35"/>
    <mergeCell ref="D33:E33"/>
    <mergeCell ref="B2:I3"/>
    <mergeCell ref="B13:I13"/>
    <mergeCell ref="B14:B15"/>
    <mergeCell ref="C14:C15"/>
    <mergeCell ref="D14:D15"/>
    <mergeCell ref="E14:E15"/>
    <mergeCell ref="F14:F15"/>
    <mergeCell ref="G14:H14"/>
    <mergeCell ref="I14:I15"/>
    <mergeCell ref="D5:F5"/>
    <mergeCell ref="D12:E12"/>
    <mergeCell ref="H35:I35"/>
    <mergeCell ref="E36:F36"/>
    <mergeCell ref="G36:H36"/>
    <mergeCell ref="E37:F37"/>
    <mergeCell ref="G37:H37"/>
    <mergeCell ref="G38:H38"/>
    <mergeCell ref="E39:F39"/>
    <mergeCell ref="G39:H39"/>
    <mergeCell ref="E40:F40"/>
    <mergeCell ref="G40:H40"/>
    <mergeCell ref="E38:F38"/>
    <mergeCell ref="E41:F41"/>
    <mergeCell ref="E42:F42"/>
    <mergeCell ref="G42:H42"/>
    <mergeCell ref="E43:F43"/>
    <mergeCell ref="G43:H43"/>
  </mergeCells>
  <printOptions horizontalCentered="1"/>
  <pageMargins left="0.19685039370078741" right="0.19685039370078741" top="0.46" bottom="0.23622047244094491" header="0.47" footer="0.31496062992125984"/>
  <pageSetup paperSize="9" scale="41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>
  <sheetPr>
    <pageSetUpPr fitToPage="1"/>
  </sheetPr>
  <dimension ref="B1:S45"/>
  <sheetViews>
    <sheetView zoomScale="110" zoomScaleNormal="110" workbookViewId="0">
      <selection activeCell="D16" sqref="D16"/>
    </sheetView>
  </sheetViews>
  <sheetFormatPr defaultColWidth="9.140625" defaultRowHeight="15.75" outlineLevelRow="1"/>
  <cols>
    <col min="1" max="1" width="2.85546875" style="1" customWidth="1"/>
    <col min="2" max="2" width="51.5703125" style="1" customWidth="1"/>
    <col min="3" max="3" width="11.5703125" style="29" customWidth="1"/>
    <col min="4" max="4" width="8.7109375" style="2" customWidth="1"/>
    <col min="5" max="5" width="10.42578125" style="2" customWidth="1"/>
    <col min="6" max="6" width="9.5703125" style="2" customWidth="1"/>
    <col min="7" max="7" width="10.42578125" style="1" customWidth="1"/>
    <col min="8" max="8" width="10.28515625" style="1" customWidth="1"/>
    <col min="9" max="9" width="11" style="1" customWidth="1"/>
    <col min="10" max="10" width="14.7109375" style="1" customWidth="1"/>
    <col min="11" max="12" width="15.7109375" style="1" customWidth="1"/>
    <col min="13" max="13" width="9.140625" style="1"/>
    <col min="14" max="14" width="12.85546875" style="232" customWidth="1"/>
    <col min="15" max="15" width="12.28515625" style="232" customWidth="1"/>
    <col min="16" max="17" width="13.28515625" style="232" customWidth="1"/>
    <col min="18" max="19" width="9.140625" style="232"/>
    <col min="20" max="16384" width="9.140625" style="1"/>
  </cols>
  <sheetData>
    <row r="1" spans="2:18"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</row>
    <row r="2" spans="2:18" ht="19.5" customHeight="1">
      <c r="B2" s="186" t="s">
        <v>161</v>
      </c>
      <c r="C2" s="186"/>
      <c r="D2" s="186"/>
      <c r="E2" s="186"/>
      <c r="F2" s="186"/>
      <c r="G2" s="186"/>
      <c r="H2" s="186"/>
      <c r="I2" s="186"/>
      <c r="J2" s="73"/>
      <c r="K2" s="73"/>
    </row>
    <row r="3" spans="2:18" ht="20.25" customHeight="1">
      <c r="B3" s="186"/>
      <c r="C3" s="186"/>
      <c r="D3" s="186"/>
      <c r="E3" s="186"/>
      <c r="F3" s="186"/>
      <c r="G3" s="186"/>
      <c r="H3" s="186"/>
      <c r="I3" s="186"/>
      <c r="J3" s="73"/>
      <c r="K3" s="73"/>
    </row>
    <row r="4" spans="2:18" ht="8.25" customHeight="1"/>
    <row r="5" spans="2:18">
      <c r="B5" s="1" t="s">
        <v>0</v>
      </c>
      <c r="D5" s="200" t="s">
        <v>64</v>
      </c>
      <c r="E5" s="200"/>
      <c r="F5" s="200"/>
    </row>
    <row r="6" spans="2:18">
      <c r="B6" s="1" t="s">
        <v>1</v>
      </c>
      <c r="D6" s="13">
        <v>1972</v>
      </c>
      <c r="E6" s="13"/>
      <c r="F6" s="13"/>
    </row>
    <row r="7" spans="2:18" hidden="1" outlineLevel="1">
      <c r="B7" s="1" t="s">
        <v>2</v>
      </c>
      <c r="D7" s="13">
        <v>2</v>
      </c>
      <c r="E7" s="13"/>
      <c r="F7" s="13"/>
    </row>
    <row r="8" spans="2:18" hidden="1" outlineLevel="1">
      <c r="B8" s="1" t="s">
        <v>3</v>
      </c>
      <c r="D8" s="13">
        <v>16</v>
      </c>
      <c r="E8" s="13"/>
      <c r="F8" s="13"/>
    </row>
    <row r="9" spans="2:18" ht="30.75" hidden="1" customHeight="1" outlineLevel="1">
      <c r="B9" s="4" t="s">
        <v>4</v>
      </c>
      <c r="C9" s="37"/>
      <c r="D9" s="13" t="s">
        <v>65</v>
      </c>
      <c r="E9" s="13"/>
      <c r="F9" s="13"/>
    </row>
    <row r="10" spans="2:18" collapsed="1">
      <c r="B10" s="1" t="s">
        <v>5</v>
      </c>
      <c r="D10" s="166" t="s">
        <v>164</v>
      </c>
      <c r="E10" s="13"/>
      <c r="F10" s="13"/>
      <c r="J10" s="6"/>
    </row>
    <row r="11" spans="2:18" hidden="1" outlineLevel="1">
      <c r="B11" s="1" t="s">
        <v>6</v>
      </c>
      <c r="D11" s="13" t="s">
        <v>7</v>
      </c>
      <c r="E11" s="13"/>
      <c r="F11" s="13"/>
    </row>
    <row r="12" spans="2:18" ht="30.75" hidden="1" customHeight="1" outlineLevel="1">
      <c r="B12" s="4" t="s">
        <v>8</v>
      </c>
      <c r="C12" s="37"/>
      <c r="D12" s="201" t="s">
        <v>66</v>
      </c>
      <c r="E12" s="201"/>
      <c r="F12" s="13"/>
      <c r="J12" s="6"/>
    </row>
    <row r="13" spans="2:18" ht="31.5" customHeight="1" collapsed="1" thickBot="1">
      <c r="B13" s="187" t="s">
        <v>132</v>
      </c>
      <c r="C13" s="187"/>
      <c r="D13" s="187"/>
      <c r="E13" s="187"/>
      <c r="F13" s="187"/>
      <c r="G13" s="187"/>
      <c r="H13" s="187"/>
      <c r="I13" s="187"/>
      <c r="M13" s="6"/>
      <c r="N13" s="233" t="s">
        <v>133</v>
      </c>
      <c r="O13" s="233" t="s">
        <v>134</v>
      </c>
      <c r="P13" s="233" t="s">
        <v>135</v>
      </c>
      <c r="Q13" s="233" t="s">
        <v>136</v>
      </c>
    </row>
    <row r="14" spans="2:18" ht="33" customHeight="1">
      <c r="B14" s="188" t="s">
        <v>137</v>
      </c>
      <c r="C14" s="190" t="s">
        <v>138</v>
      </c>
      <c r="D14" s="190" t="s">
        <v>139</v>
      </c>
      <c r="E14" s="192" t="s">
        <v>140</v>
      </c>
      <c r="F14" s="194" t="s">
        <v>141</v>
      </c>
      <c r="G14" s="196" t="s">
        <v>142</v>
      </c>
      <c r="H14" s="197"/>
      <c r="I14" s="198" t="s">
        <v>163</v>
      </c>
      <c r="M14" s="6"/>
      <c r="N14" s="233"/>
      <c r="O14" s="233"/>
      <c r="P14" s="233"/>
      <c r="Q14" s="233"/>
    </row>
    <row r="15" spans="2:18" ht="42.75" customHeight="1" thickBot="1">
      <c r="B15" s="189"/>
      <c r="C15" s="191"/>
      <c r="D15" s="191"/>
      <c r="E15" s="193"/>
      <c r="F15" s="195"/>
      <c r="G15" s="48" t="s">
        <v>121</v>
      </c>
      <c r="H15" s="49" t="s">
        <v>122</v>
      </c>
      <c r="I15" s="199"/>
      <c r="N15" s="234">
        <v>28771.88</v>
      </c>
      <c r="O15" s="234">
        <v>32831.949999999997</v>
      </c>
      <c r="P15" s="234">
        <f>31675.17*0.91</f>
        <v>28824.404699999999</v>
      </c>
      <c r="Q15" s="234">
        <f>35419.76*0.91</f>
        <v>32231.981600000003</v>
      </c>
      <c r="R15" s="232">
        <f>(N15+O15)/(P15+Q15)*100</f>
        <v>100.8966198839711</v>
      </c>
    </row>
    <row r="16" spans="2:18" ht="48">
      <c r="B16" s="50" t="s">
        <v>143</v>
      </c>
      <c r="C16" s="51" t="s">
        <v>144</v>
      </c>
      <c r="D16" s="52" t="s">
        <v>145</v>
      </c>
      <c r="E16" s="53">
        <v>1.01</v>
      </c>
      <c r="F16" s="54">
        <v>1.05</v>
      </c>
      <c r="G16" s="55">
        <f>($N$15/$N$16*E16)+($O$15/$O$16*F16)</f>
        <v>8042.0716273190319</v>
      </c>
      <c r="H16" s="56">
        <f>($P$15/$P$16*E16)+($Q$15/$Q$16*F16)</f>
        <v>7974.3628453861384</v>
      </c>
      <c r="I16" s="57">
        <f>H16-G16</f>
        <v>-67.708781932893544</v>
      </c>
      <c r="J16" s="45"/>
      <c r="K16" s="7"/>
      <c r="L16" s="7"/>
      <c r="M16" s="58"/>
      <c r="N16" s="235">
        <v>7.37</v>
      </c>
      <c r="O16" s="234">
        <v>8.41</v>
      </c>
      <c r="P16" s="235">
        <v>7.37</v>
      </c>
      <c r="Q16" s="234">
        <v>8.41</v>
      </c>
    </row>
    <row r="17" spans="2:17" ht="51.75">
      <c r="B17" s="31" t="s">
        <v>129</v>
      </c>
      <c r="C17" s="51" t="s">
        <v>144</v>
      </c>
      <c r="D17" s="52" t="s">
        <v>145</v>
      </c>
      <c r="E17" s="41">
        <v>1.1299999999999999</v>
      </c>
      <c r="F17" s="42">
        <v>1.17</v>
      </c>
      <c r="G17" s="55">
        <f t="shared" ref="G17:G28" si="0">($N$15/$N$16*E17)+($O$15/$O$16*F17)</f>
        <v>8979.0120125617723</v>
      </c>
      <c r="H17" s="56">
        <f t="shared" ref="H17:H21" si="1">($P$15/$P$16*E17)+($Q$15/$Q$16*F17)</f>
        <v>8903.5976638935354</v>
      </c>
      <c r="I17" s="57">
        <f t="shared" ref="I17:I28" si="2">H17-G17</f>
        <v>-75.414348668236926</v>
      </c>
      <c r="J17" s="30"/>
      <c r="K17" s="8"/>
      <c r="L17" s="8"/>
      <c r="M17" s="8"/>
      <c r="N17" s="236"/>
      <c r="O17" s="237"/>
      <c r="P17" s="237"/>
      <c r="Q17" s="237"/>
    </row>
    <row r="18" spans="2:17" ht="51" customHeight="1">
      <c r="B18" s="62" t="s">
        <v>123</v>
      </c>
      <c r="C18" s="51" t="s">
        <v>144</v>
      </c>
      <c r="D18" s="52" t="s">
        <v>145</v>
      </c>
      <c r="E18" s="41">
        <v>0.28000000000000003</v>
      </c>
      <c r="F18" s="42">
        <v>0.27</v>
      </c>
      <c r="G18" s="55">
        <f t="shared" si="0"/>
        <v>2147.1550526849055</v>
      </c>
      <c r="H18" s="56">
        <f t="shared" si="1"/>
        <v>2129.8887957800453</v>
      </c>
      <c r="I18" s="57">
        <f t="shared" si="2"/>
        <v>-17.266256904860256</v>
      </c>
      <c r="J18" s="10"/>
      <c r="M18" s="6"/>
      <c r="N18" s="234"/>
      <c r="O18" s="234"/>
      <c r="P18" s="234"/>
      <c r="Q18" s="234"/>
    </row>
    <row r="19" spans="2:17" ht="26.25">
      <c r="B19" s="32" t="s">
        <v>146</v>
      </c>
      <c r="C19" s="59" t="s">
        <v>147</v>
      </c>
      <c r="D19" s="52" t="s">
        <v>145</v>
      </c>
      <c r="E19" s="41">
        <v>0</v>
      </c>
      <c r="F19" s="42">
        <v>0</v>
      </c>
      <c r="G19" s="55">
        <f t="shared" si="0"/>
        <v>0</v>
      </c>
      <c r="H19" s="56">
        <f t="shared" si="1"/>
        <v>0</v>
      </c>
      <c r="I19" s="57">
        <f t="shared" si="2"/>
        <v>0</v>
      </c>
      <c r="J19" s="10"/>
      <c r="M19" s="6"/>
      <c r="N19" s="234"/>
      <c r="O19" s="234"/>
      <c r="P19" s="234"/>
      <c r="Q19" s="234"/>
    </row>
    <row r="20" spans="2:17" ht="51.75">
      <c r="B20" s="31" t="s">
        <v>124</v>
      </c>
      <c r="C20" s="51" t="s">
        <v>144</v>
      </c>
      <c r="D20" s="52" t="s">
        <v>145</v>
      </c>
      <c r="E20" s="41">
        <v>1.1399999999999999</v>
      </c>
      <c r="F20" s="42">
        <v>1.33</v>
      </c>
      <c r="G20" s="55">
        <f t="shared" si="0"/>
        <v>9642.6780712210202</v>
      </c>
      <c r="H20" s="56">
        <f t="shared" si="1"/>
        <v>9555.9206098274171</v>
      </c>
      <c r="I20" s="57">
        <f t="shared" si="2"/>
        <v>-86.75746139360308</v>
      </c>
      <c r="J20" s="10"/>
      <c r="N20" s="234"/>
      <c r="O20" s="234"/>
      <c r="P20" s="234"/>
      <c r="Q20" s="234"/>
    </row>
    <row r="21" spans="2:17" ht="166.5">
      <c r="B21" s="31" t="s">
        <v>125</v>
      </c>
      <c r="C21" s="51" t="s">
        <v>148</v>
      </c>
      <c r="D21" s="52" t="s">
        <v>145</v>
      </c>
      <c r="E21" s="41">
        <v>2.0099999999999998</v>
      </c>
      <c r="F21" s="42">
        <v>1.96</v>
      </c>
      <c r="G21" s="55">
        <f t="shared" si="0"/>
        <v>15498.555555075127</v>
      </c>
      <c r="H21" s="56">
        <f t="shared" si="1"/>
        <v>15373.054306312832</v>
      </c>
      <c r="I21" s="57">
        <f t="shared" si="2"/>
        <v>-125.50124876229529</v>
      </c>
      <c r="J21" s="30"/>
      <c r="K21" s="8"/>
      <c r="L21" s="8"/>
      <c r="M21" s="60"/>
      <c r="N21" s="237"/>
      <c r="O21" s="237"/>
      <c r="P21" s="237"/>
      <c r="Q21" s="237"/>
    </row>
    <row r="22" spans="2:17" ht="25.5" customHeight="1">
      <c r="B22" s="61" t="s">
        <v>149</v>
      </c>
      <c r="C22" s="51" t="s">
        <v>147</v>
      </c>
      <c r="D22" s="52" t="s">
        <v>145</v>
      </c>
      <c r="E22" s="41">
        <v>1.94</v>
      </c>
      <c r="F22" s="42">
        <v>2.1</v>
      </c>
      <c r="G22" s="55">
        <v>14419.26</v>
      </c>
      <c r="H22" s="40">
        <v>14639.02</v>
      </c>
      <c r="I22" s="57">
        <f t="shared" si="2"/>
        <v>219.76000000000022</v>
      </c>
      <c r="J22" s="10"/>
      <c r="N22" s="234"/>
      <c r="O22" s="234"/>
      <c r="P22" s="234"/>
      <c r="Q22" s="234"/>
    </row>
    <row r="23" spans="2:17" ht="115.5">
      <c r="B23" s="31" t="s">
        <v>150</v>
      </c>
      <c r="C23" s="51" t="s">
        <v>144</v>
      </c>
      <c r="D23" s="52" t="s">
        <v>145</v>
      </c>
      <c r="E23" s="41">
        <v>0.22</v>
      </c>
      <c r="F23" s="42">
        <v>0.21</v>
      </c>
      <c r="G23" s="55">
        <f t="shared" si="0"/>
        <v>1678.6848600635349</v>
      </c>
      <c r="H23" s="56">
        <f t="shared" ref="H23" si="3">($P$15/$P$16*E23)+($Q$15/$Q$16*F23)</f>
        <v>1665.2713865263459</v>
      </c>
      <c r="I23" s="57">
        <f t="shared" si="2"/>
        <v>-13.41347353718902</v>
      </c>
      <c r="J23" s="10"/>
      <c r="N23" s="234"/>
      <c r="O23" s="234"/>
      <c r="P23" s="234"/>
      <c r="Q23" s="234"/>
    </row>
    <row r="24" spans="2:17" ht="51.75" customHeight="1">
      <c r="B24" s="62" t="s">
        <v>151</v>
      </c>
      <c r="C24" s="51" t="s">
        <v>144</v>
      </c>
      <c r="D24" s="52" t="s">
        <v>145</v>
      </c>
      <c r="E24" s="41">
        <v>0.73</v>
      </c>
      <c r="F24" s="42">
        <v>0</v>
      </c>
      <c r="G24" s="55">
        <v>2849.86</v>
      </c>
      <c r="H24" s="40">
        <v>16385</v>
      </c>
      <c r="I24" s="57">
        <f t="shared" si="2"/>
        <v>13535.14</v>
      </c>
      <c r="J24" s="10"/>
      <c r="M24" s="6"/>
      <c r="N24" s="234"/>
      <c r="O24" s="234"/>
      <c r="P24" s="234"/>
      <c r="Q24" s="234"/>
    </row>
    <row r="25" spans="2:17" ht="64.5">
      <c r="B25" s="31" t="s">
        <v>152</v>
      </c>
      <c r="C25" s="59" t="s">
        <v>148</v>
      </c>
      <c r="D25" s="52" t="s">
        <v>145</v>
      </c>
      <c r="E25" s="41">
        <v>0.71</v>
      </c>
      <c r="F25" s="42">
        <v>1.1100000000000001</v>
      </c>
      <c r="G25" s="55">
        <f t="shared" si="0"/>
        <v>7105.1311279458296</v>
      </c>
      <c r="H25" s="56">
        <f t="shared" ref="H25:H28" si="4">($P$15/$P$16*E25)+($Q$15/$Q$16*F25)</f>
        <v>7031.0039056574769</v>
      </c>
      <c r="I25" s="57">
        <f t="shared" si="2"/>
        <v>-74.127222288352641</v>
      </c>
      <c r="J25" s="10"/>
      <c r="K25" s="63"/>
      <c r="L25" s="63"/>
      <c r="M25" s="6"/>
      <c r="N25" s="234"/>
      <c r="O25" s="234"/>
      <c r="P25" s="234"/>
      <c r="Q25" s="234"/>
    </row>
    <row r="26" spans="2:17" ht="64.5">
      <c r="B26" s="31" t="s">
        <v>126</v>
      </c>
      <c r="C26" s="59" t="s">
        <v>148</v>
      </c>
      <c r="D26" s="52" t="s">
        <v>145</v>
      </c>
      <c r="E26" s="41">
        <v>0.25</v>
      </c>
      <c r="F26" s="42">
        <v>0.73</v>
      </c>
      <c r="G26" s="55">
        <f t="shared" si="0"/>
        <v>3825.8397542339108</v>
      </c>
      <c r="H26" s="56">
        <f t="shared" si="4"/>
        <v>3775.5433472768577</v>
      </c>
      <c r="I26" s="57">
        <f t="shared" si="2"/>
        <v>-50.296406957053023</v>
      </c>
      <c r="J26" s="10"/>
      <c r="K26" s="64"/>
      <c r="L26" s="64"/>
      <c r="M26" s="6"/>
      <c r="N26" s="238">
        <f>K26-L26</f>
        <v>0</v>
      </c>
      <c r="O26" s="238"/>
      <c r="P26" s="234"/>
      <c r="Q26" s="234"/>
    </row>
    <row r="27" spans="2:17" ht="29.25" customHeight="1">
      <c r="B27" s="62" t="s">
        <v>158</v>
      </c>
      <c r="C27" s="59" t="s">
        <v>147</v>
      </c>
      <c r="D27" s="52" t="s">
        <v>145</v>
      </c>
      <c r="E27" s="41">
        <v>0.6</v>
      </c>
      <c r="F27" s="42">
        <v>0.5</v>
      </c>
      <c r="G27" s="55">
        <f t="shared" ref="G27" si="5">($N$15/$N$16*E27)+($O$15/$O$16*F27)</f>
        <v>4294.3101307321358</v>
      </c>
      <c r="H27" s="56">
        <f t="shared" ref="H27" si="6">($P$15/$P$16*E27)+($Q$15/$Q$16*F27)</f>
        <v>4262.9162851648143</v>
      </c>
      <c r="I27" s="57">
        <f t="shared" si="2"/>
        <v>-31.393845567321478</v>
      </c>
      <c r="J27" s="10"/>
      <c r="K27" s="64"/>
      <c r="L27" s="64"/>
      <c r="M27" s="6"/>
      <c r="N27" s="234"/>
      <c r="O27" s="234"/>
      <c r="P27" s="234"/>
      <c r="Q27" s="234"/>
    </row>
    <row r="28" spans="2:17" ht="16.5" thickBot="1">
      <c r="B28" s="78" t="s">
        <v>127</v>
      </c>
      <c r="C28" s="79" t="s">
        <v>148</v>
      </c>
      <c r="D28" s="80" t="s">
        <v>145</v>
      </c>
      <c r="E28" s="70">
        <v>0.02</v>
      </c>
      <c r="F28" s="81">
        <v>0.08</v>
      </c>
      <c r="G28" s="82">
        <f t="shared" si="0"/>
        <v>390.39180816273188</v>
      </c>
      <c r="H28" s="83">
        <f t="shared" si="4"/>
        <v>384.82715417453863</v>
      </c>
      <c r="I28" s="84">
        <f t="shared" si="2"/>
        <v>-5.5646539881932426</v>
      </c>
      <c r="J28" s="10"/>
      <c r="N28" s="234"/>
      <c r="O28" s="234"/>
      <c r="P28" s="234"/>
      <c r="Q28" s="234"/>
    </row>
    <row r="29" spans="2:17" ht="16.5" thickBot="1">
      <c r="B29" s="85" t="s">
        <v>128</v>
      </c>
      <c r="C29" s="86"/>
      <c r="D29" s="86"/>
      <c r="E29" s="87">
        <f>SUM(E16:E28)</f>
        <v>10.039999999999997</v>
      </c>
      <c r="F29" s="87">
        <f>SUM(F16:F28)</f>
        <v>10.51</v>
      </c>
      <c r="G29" s="88">
        <f>SUM(G16:G28)</f>
        <v>78872.95</v>
      </c>
      <c r="H29" s="89">
        <f>SUM(H16:H28)</f>
        <v>92080.406299999988</v>
      </c>
      <c r="I29" s="90">
        <f>H29-G29</f>
        <v>13207.456299999991</v>
      </c>
      <c r="J29" s="10"/>
      <c r="N29" s="234"/>
      <c r="O29" s="234"/>
      <c r="P29" s="234"/>
      <c r="Q29" s="234"/>
    </row>
    <row r="30" spans="2:17">
      <c r="B30" s="6"/>
      <c r="C30" s="6"/>
      <c r="D30" s="6"/>
      <c r="E30" s="29"/>
      <c r="F30" s="29"/>
      <c r="G30" s="29"/>
      <c r="H30" s="29"/>
      <c r="I30" s="2"/>
      <c r="N30" s="234"/>
      <c r="O30" s="234"/>
      <c r="P30" s="234"/>
      <c r="Q30" s="234"/>
    </row>
    <row r="31" spans="2:17" ht="16.5" thickBot="1">
      <c r="B31" s="207" t="s">
        <v>153</v>
      </c>
      <c r="C31" s="207"/>
      <c r="D31" s="207"/>
      <c r="E31" s="207"/>
      <c r="F31" s="207"/>
      <c r="G31" s="207"/>
      <c r="H31" s="207"/>
      <c r="I31" s="207"/>
      <c r="J31" s="207"/>
      <c r="K31" s="207"/>
      <c r="N31" s="234"/>
      <c r="O31" s="234"/>
      <c r="P31" s="234"/>
      <c r="Q31" s="234"/>
    </row>
    <row r="32" spans="2:17" ht="45.75" customHeight="1">
      <c r="B32" s="20"/>
      <c r="C32" s="65"/>
      <c r="D32" s="208" t="s">
        <v>154</v>
      </c>
      <c r="E32" s="209"/>
      <c r="F32" s="210" t="s">
        <v>10</v>
      </c>
      <c r="G32" s="211"/>
      <c r="H32" s="210" t="s">
        <v>11</v>
      </c>
      <c r="I32" s="215"/>
      <c r="J32" s="66" t="s">
        <v>155</v>
      </c>
      <c r="K32" s="96" t="s">
        <v>156</v>
      </c>
      <c r="L32" s="46" t="s">
        <v>159</v>
      </c>
      <c r="M32" s="9"/>
      <c r="N32" s="238"/>
      <c r="O32" s="238"/>
      <c r="P32" s="238"/>
      <c r="Q32" s="238"/>
    </row>
    <row r="33" spans="2:17">
      <c r="B33" s="21" t="s">
        <v>12</v>
      </c>
      <c r="C33" s="67"/>
      <c r="D33" s="203">
        <f>F33+H33+J33+K33+L33</f>
        <v>414492.55000000005</v>
      </c>
      <c r="E33" s="204"/>
      <c r="F33" s="203">
        <f>28771.88+32831.95+14419.26</f>
        <v>76023.09</v>
      </c>
      <c r="G33" s="204"/>
      <c r="H33" s="203">
        <f>G24</f>
        <v>2849.86</v>
      </c>
      <c r="I33" s="216"/>
      <c r="J33" s="41">
        <f>23630.72+27405.44</f>
        <v>51036.160000000003</v>
      </c>
      <c r="K33" s="47">
        <f>75392.91</f>
        <v>75392.91</v>
      </c>
      <c r="L33" s="68">
        <v>209190.53</v>
      </c>
      <c r="M33" s="10"/>
      <c r="N33" s="234"/>
      <c r="O33" s="234"/>
      <c r="P33" s="234"/>
      <c r="Q33" s="234"/>
    </row>
    <row r="34" spans="2:17">
      <c r="B34" s="21" t="s">
        <v>13</v>
      </c>
      <c r="C34" s="67"/>
      <c r="D34" s="203">
        <f>F34+H34+J34+K34+L34</f>
        <v>417542.54000000004</v>
      </c>
      <c r="E34" s="204"/>
      <c r="F34" s="203">
        <f>28364.72+32367.34+14157.72</f>
        <v>74889.78</v>
      </c>
      <c r="G34" s="204"/>
      <c r="H34" s="203">
        <v>2809.53</v>
      </c>
      <c r="I34" s="216"/>
      <c r="J34" s="41">
        <f>22707.97+26027.19</f>
        <v>48735.16</v>
      </c>
      <c r="K34" s="47">
        <v>75709.17</v>
      </c>
      <c r="L34" s="68">
        <v>215398.9</v>
      </c>
      <c r="M34" s="10"/>
      <c r="N34" s="234"/>
      <c r="O34" s="234"/>
      <c r="P34" s="234"/>
      <c r="Q34" s="234"/>
    </row>
    <row r="35" spans="2:17" ht="16.5" thickBot="1">
      <c r="B35" s="22" t="s">
        <v>114</v>
      </c>
      <c r="C35" s="69"/>
      <c r="D35" s="205">
        <f>F35+H35+J35+K35+L35</f>
        <v>427700.00630000001</v>
      </c>
      <c r="E35" s="206"/>
      <c r="F35" s="205">
        <f>H16+H17+H18+H19+H20+H21+H22+H23+H25+H26+H27+H28</f>
        <v>75695.406300000002</v>
      </c>
      <c r="G35" s="206"/>
      <c r="H35" s="205">
        <f>H24</f>
        <v>16385</v>
      </c>
      <c r="I35" s="217"/>
      <c r="J35" s="70">
        <v>51036.160000000003</v>
      </c>
      <c r="K35" s="81">
        <v>75392.91</v>
      </c>
      <c r="L35" s="71">
        <v>209190.53</v>
      </c>
      <c r="M35" s="10"/>
      <c r="N35" s="234"/>
      <c r="O35" s="234"/>
      <c r="P35" s="234"/>
      <c r="Q35" s="234"/>
    </row>
    <row r="36" spans="2:17" ht="27" thickBot="1">
      <c r="B36" s="23" t="s">
        <v>115</v>
      </c>
      <c r="C36" s="72"/>
      <c r="D36" s="184">
        <f>F36+H36</f>
        <v>-14381.096300000003</v>
      </c>
      <c r="E36" s="185"/>
      <c r="F36" s="182">
        <f>F34-F35</f>
        <v>-805.62630000000354</v>
      </c>
      <c r="G36" s="183"/>
      <c r="H36" s="182">
        <f>H34-H35</f>
        <v>-13575.47</v>
      </c>
      <c r="I36" s="218"/>
      <c r="J36" s="97">
        <f>J34-J35</f>
        <v>-2301</v>
      </c>
      <c r="K36" s="76">
        <f>K34-K35</f>
        <v>316.25999999999476</v>
      </c>
      <c r="L36" s="98">
        <f>L34-L35</f>
        <v>6208.3699999999953</v>
      </c>
      <c r="M36" s="10"/>
      <c r="N36" s="234"/>
      <c r="O36" s="234"/>
      <c r="P36" s="234"/>
      <c r="Q36" s="234"/>
    </row>
    <row r="37" spans="2:17">
      <c r="B37" s="91"/>
      <c r="C37" s="91"/>
      <c r="D37" s="92"/>
      <c r="E37" s="93"/>
      <c r="F37" s="94"/>
      <c r="G37" s="75"/>
      <c r="H37" s="75"/>
      <c r="I37" s="75"/>
      <c r="J37" s="95"/>
      <c r="K37" s="95"/>
      <c r="L37" s="95"/>
      <c r="M37" s="10"/>
      <c r="N37" s="234"/>
      <c r="O37" s="234"/>
      <c r="P37" s="234"/>
      <c r="Q37" s="234"/>
    </row>
    <row r="38" spans="2:17">
      <c r="B38" s="26" t="s">
        <v>116</v>
      </c>
      <c r="C38" s="26"/>
      <c r="D38" s="26"/>
      <c r="E38" s="219" t="s">
        <v>117</v>
      </c>
      <c r="F38" s="219"/>
      <c r="G38" s="178" t="s">
        <v>14</v>
      </c>
      <c r="H38" s="178"/>
      <c r="I38" s="178"/>
      <c r="J38" s="178"/>
      <c r="K38" s="8"/>
      <c r="L38" s="8"/>
      <c r="M38" s="8"/>
      <c r="N38" s="237"/>
      <c r="O38" s="237"/>
      <c r="P38" s="237"/>
      <c r="Q38" s="237"/>
    </row>
    <row r="39" spans="2:17" ht="9" customHeight="1">
      <c r="B39" s="26"/>
      <c r="C39" s="26"/>
      <c r="D39" s="26"/>
      <c r="E39" s="179" t="s">
        <v>15</v>
      </c>
      <c r="F39" s="179"/>
      <c r="G39" s="181"/>
      <c r="H39" s="181"/>
      <c r="I39" s="181"/>
      <c r="J39" s="181"/>
      <c r="K39" s="8"/>
      <c r="L39" s="8"/>
      <c r="M39" s="8"/>
      <c r="N39" s="237"/>
      <c r="O39" s="237"/>
      <c r="P39" s="237"/>
      <c r="Q39" s="237"/>
    </row>
    <row r="40" spans="2:17">
      <c r="B40" s="26" t="s">
        <v>118</v>
      </c>
      <c r="C40" s="26"/>
      <c r="D40" s="26"/>
      <c r="E40" s="177" t="s">
        <v>117</v>
      </c>
      <c r="F40" s="177"/>
      <c r="G40" s="178" t="s">
        <v>131</v>
      </c>
      <c r="H40" s="178"/>
      <c r="I40" s="178"/>
      <c r="J40" s="178"/>
      <c r="K40" s="8"/>
      <c r="L40" s="8"/>
      <c r="M40" s="8"/>
      <c r="N40" s="237"/>
      <c r="O40" s="237"/>
      <c r="P40" s="237"/>
      <c r="Q40" s="237"/>
    </row>
    <row r="41" spans="2:17" ht="6.75" customHeight="1">
      <c r="B41" s="26"/>
      <c r="C41" s="26"/>
      <c r="D41" s="26"/>
      <c r="E41" s="220" t="s">
        <v>15</v>
      </c>
      <c r="F41" s="220"/>
      <c r="G41" s="178"/>
      <c r="H41" s="178"/>
      <c r="I41" s="178"/>
      <c r="J41" s="178"/>
      <c r="N41" s="234"/>
      <c r="O41" s="234"/>
      <c r="P41" s="234"/>
      <c r="Q41" s="234"/>
    </row>
    <row r="42" spans="2:17">
      <c r="B42" s="26" t="s">
        <v>119</v>
      </c>
      <c r="C42" s="26"/>
      <c r="D42" s="26"/>
      <c r="E42" s="177" t="s">
        <v>117</v>
      </c>
      <c r="F42" s="177"/>
      <c r="G42" s="178" t="s">
        <v>157</v>
      </c>
      <c r="H42" s="178"/>
      <c r="I42" s="178"/>
      <c r="J42" s="178"/>
      <c r="N42" s="234"/>
      <c r="O42" s="234"/>
      <c r="P42" s="234"/>
      <c r="Q42" s="234"/>
    </row>
    <row r="43" spans="2:17" ht="6.75" customHeight="1">
      <c r="B43" s="27"/>
      <c r="C43" s="27"/>
      <c r="D43" s="27"/>
      <c r="E43" s="220" t="s">
        <v>15</v>
      </c>
      <c r="F43" s="220"/>
      <c r="G43" s="43"/>
      <c r="H43" s="28"/>
      <c r="I43" s="43"/>
      <c r="J43" s="28"/>
      <c r="N43" s="234"/>
      <c r="O43" s="234"/>
      <c r="P43" s="234"/>
      <c r="Q43" s="234"/>
    </row>
    <row r="44" spans="2:17">
      <c r="B44" s="26" t="s">
        <v>120</v>
      </c>
      <c r="C44" s="26"/>
      <c r="D44" s="26"/>
      <c r="E44" s="181" t="s">
        <v>117</v>
      </c>
      <c r="F44" s="181"/>
      <c r="G44" s="178" t="s">
        <v>93</v>
      </c>
      <c r="H44" s="178"/>
    </row>
    <row r="45" spans="2:17" ht="7.5" customHeight="1">
      <c r="C45" s="1"/>
      <c r="D45" s="1"/>
      <c r="E45" s="220" t="s">
        <v>15</v>
      </c>
      <c r="F45" s="220"/>
      <c r="G45" s="220"/>
      <c r="H45" s="220"/>
    </row>
  </sheetData>
  <mergeCells count="47">
    <mergeCell ref="E45:F45"/>
    <mergeCell ref="G45:H45"/>
    <mergeCell ref="E42:F42"/>
    <mergeCell ref="G42:H42"/>
    <mergeCell ref="I42:J42"/>
    <mergeCell ref="E43:F43"/>
    <mergeCell ref="E44:F44"/>
    <mergeCell ref="G44:H44"/>
    <mergeCell ref="E40:F40"/>
    <mergeCell ref="G40:H40"/>
    <mergeCell ref="I40:J40"/>
    <mergeCell ref="E41:F41"/>
    <mergeCell ref="G41:H41"/>
    <mergeCell ref="I41:J41"/>
    <mergeCell ref="E38:F38"/>
    <mergeCell ref="G38:H38"/>
    <mergeCell ref="I38:J38"/>
    <mergeCell ref="E39:F39"/>
    <mergeCell ref="G39:H39"/>
    <mergeCell ref="I39:J39"/>
    <mergeCell ref="D5:F5"/>
    <mergeCell ref="D12:E12"/>
    <mergeCell ref="B13:I13"/>
    <mergeCell ref="B14:B15"/>
    <mergeCell ref="C14:C15"/>
    <mergeCell ref="D14:D15"/>
    <mergeCell ref="E14:E15"/>
    <mergeCell ref="F14:F15"/>
    <mergeCell ref="G14:H14"/>
    <mergeCell ref="I14:I15"/>
    <mergeCell ref="F35:G35"/>
    <mergeCell ref="F36:G36"/>
    <mergeCell ref="B31:K31"/>
    <mergeCell ref="F32:G32"/>
    <mergeCell ref="H32:I32"/>
    <mergeCell ref="D32:E32"/>
    <mergeCell ref="D33:E33"/>
    <mergeCell ref="D34:E34"/>
    <mergeCell ref="D35:E35"/>
    <mergeCell ref="D36:E36"/>
    <mergeCell ref="F33:G33"/>
    <mergeCell ref="H33:I33"/>
    <mergeCell ref="F34:G34"/>
    <mergeCell ref="H34:I34"/>
    <mergeCell ref="H35:I35"/>
    <mergeCell ref="H36:I36"/>
    <mergeCell ref="B2:I3"/>
  </mergeCells>
  <printOptions horizontalCentered="1"/>
  <pageMargins left="0.23622047244094491" right="0.19685039370078741" top="0.15748031496062992" bottom="0.23622047244094491" header="0.31496062992125984" footer="0.24"/>
  <pageSetup paperSize="9" scale="41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>
  <sheetPr>
    <pageSetUpPr fitToPage="1"/>
  </sheetPr>
  <dimension ref="B1:S43"/>
  <sheetViews>
    <sheetView zoomScale="110" zoomScaleNormal="110" workbookViewId="0">
      <selection activeCell="B1" sqref="B1:I1"/>
    </sheetView>
  </sheetViews>
  <sheetFormatPr defaultColWidth="9.140625" defaultRowHeight="15.75" outlineLevelRow="1"/>
  <cols>
    <col min="1" max="1" width="2.85546875" style="1" customWidth="1"/>
    <col min="2" max="2" width="51" style="1" customWidth="1"/>
    <col min="3" max="3" width="11.7109375" style="38" customWidth="1"/>
    <col min="4" max="4" width="9.28515625" style="2" customWidth="1"/>
    <col min="5" max="6" width="10.28515625" style="2" customWidth="1"/>
    <col min="7" max="7" width="11" style="1" customWidth="1"/>
    <col min="8" max="8" width="10.28515625" style="1" customWidth="1"/>
    <col min="9" max="9" width="9.7109375" style="1" customWidth="1"/>
    <col min="10" max="10" width="12.28515625" style="1" customWidth="1"/>
    <col min="11" max="13" width="9.140625" style="1"/>
    <col min="14" max="14" width="13.42578125" style="232" customWidth="1"/>
    <col min="15" max="15" width="13.7109375" style="232" customWidth="1"/>
    <col min="16" max="16" width="14" style="232" customWidth="1"/>
    <col min="17" max="17" width="13.42578125" style="232" customWidth="1"/>
    <col min="18" max="19" width="9.140625" style="232"/>
    <col min="20" max="16384" width="9.140625" style="1"/>
  </cols>
  <sheetData>
    <row r="1" spans="2:18">
      <c r="B1" s="137"/>
      <c r="C1" s="137"/>
      <c r="D1" s="137"/>
      <c r="E1" s="137"/>
      <c r="F1" s="137"/>
      <c r="G1" s="137"/>
      <c r="H1" s="137"/>
      <c r="I1" s="137"/>
    </row>
    <row r="2" spans="2:18" ht="19.5" customHeight="1">
      <c r="B2" s="186" t="s">
        <v>161</v>
      </c>
      <c r="C2" s="186"/>
      <c r="D2" s="186"/>
      <c r="E2" s="186"/>
      <c r="F2" s="186"/>
      <c r="G2" s="186"/>
      <c r="H2" s="186"/>
      <c r="I2" s="186"/>
    </row>
    <row r="3" spans="2:18" ht="20.25" customHeight="1">
      <c r="B3" s="186"/>
      <c r="C3" s="186"/>
      <c r="D3" s="186"/>
      <c r="E3" s="186"/>
      <c r="F3" s="186"/>
      <c r="G3" s="186"/>
      <c r="H3" s="186"/>
      <c r="I3" s="186"/>
    </row>
    <row r="4" spans="2:18" ht="16.5" customHeight="1"/>
    <row r="5" spans="2:18">
      <c r="B5" s="1" t="s">
        <v>0</v>
      </c>
      <c r="D5" s="200" t="s">
        <v>67</v>
      </c>
      <c r="E5" s="200"/>
      <c r="F5" s="200"/>
    </row>
    <row r="6" spans="2:18">
      <c r="B6" s="1" t="s">
        <v>1</v>
      </c>
      <c r="D6" s="13">
        <v>1973</v>
      </c>
      <c r="E6" s="13"/>
      <c r="F6" s="13"/>
    </row>
    <row r="7" spans="2:18" hidden="1" outlineLevel="1">
      <c r="B7" s="1" t="s">
        <v>2</v>
      </c>
      <c r="D7" s="13">
        <v>2</v>
      </c>
      <c r="E7" s="13"/>
      <c r="F7" s="13"/>
    </row>
    <row r="8" spans="2:18" hidden="1" outlineLevel="1">
      <c r="B8" s="1" t="s">
        <v>3</v>
      </c>
      <c r="D8" s="13">
        <v>15</v>
      </c>
      <c r="E8" s="13"/>
      <c r="F8" s="13"/>
    </row>
    <row r="9" spans="2:18" ht="30.75" hidden="1" customHeight="1" outlineLevel="1">
      <c r="B9" s="4" t="s">
        <v>4</v>
      </c>
      <c r="C9" s="39"/>
      <c r="D9" s="13" t="s">
        <v>68</v>
      </c>
      <c r="E9" s="13"/>
      <c r="F9" s="13"/>
    </row>
    <row r="10" spans="2:18" collapsed="1">
      <c r="B10" s="1" t="s">
        <v>5</v>
      </c>
      <c r="D10" s="19" t="s">
        <v>109</v>
      </c>
      <c r="E10" s="13"/>
      <c r="F10" s="13"/>
      <c r="J10" s="6"/>
    </row>
    <row r="11" spans="2:18" hidden="1" outlineLevel="1">
      <c r="B11" s="1" t="s">
        <v>6</v>
      </c>
      <c r="D11" s="13" t="s">
        <v>7</v>
      </c>
      <c r="E11" s="13"/>
      <c r="F11" s="13"/>
    </row>
    <row r="12" spans="2:18" ht="30.75" hidden="1" customHeight="1" outlineLevel="1">
      <c r="B12" s="4" t="s">
        <v>8</v>
      </c>
      <c r="C12" s="39"/>
      <c r="D12" s="201" t="s">
        <v>69</v>
      </c>
      <c r="E12" s="201"/>
      <c r="F12" s="13"/>
      <c r="J12" s="6"/>
    </row>
    <row r="13" spans="2:18" ht="31.5" customHeight="1" collapsed="1" thickBot="1">
      <c r="B13" s="187" t="s">
        <v>132</v>
      </c>
      <c r="C13" s="187"/>
      <c r="D13" s="187"/>
      <c r="E13" s="187"/>
      <c r="F13" s="187"/>
      <c r="G13" s="187"/>
      <c r="H13" s="187"/>
      <c r="I13" s="187"/>
      <c r="J13" s="124"/>
      <c r="K13" s="124"/>
      <c r="M13" s="6"/>
      <c r="N13" s="233" t="s">
        <v>133</v>
      </c>
      <c r="O13" s="233" t="s">
        <v>134</v>
      </c>
      <c r="P13" s="233" t="s">
        <v>135</v>
      </c>
      <c r="Q13" s="233" t="s">
        <v>136</v>
      </c>
    </row>
    <row r="14" spans="2:18" ht="27.75" customHeight="1">
      <c r="B14" s="188" t="s">
        <v>137</v>
      </c>
      <c r="C14" s="190" t="s">
        <v>138</v>
      </c>
      <c r="D14" s="190" t="s">
        <v>139</v>
      </c>
      <c r="E14" s="192" t="s">
        <v>140</v>
      </c>
      <c r="F14" s="194" t="s">
        <v>141</v>
      </c>
      <c r="G14" s="196" t="s">
        <v>142</v>
      </c>
      <c r="H14" s="197"/>
      <c r="I14" s="198" t="s">
        <v>163</v>
      </c>
      <c r="J14" s="125"/>
      <c r="K14" s="125"/>
      <c r="M14" s="6"/>
      <c r="N14" s="233"/>
      <c r="O14" s="233"/>
      <c r="P14" s="233"/>
      <c r="Q14" s="233"/>
    </row>
    <row r="15" spans="2:18" ht="45" customHeight="1" thickBot="1">
      <c r="B15" s="189"/>
      <c r="C15" s="191"/>
      <c r="D15" s="191"/>
      <c r="E15" s="193"/>
      <c r="F15" s="195"/>
      <c r="G15" s="48" t="s">
        <v>121</v>
      </c>
      <c r="H15" s="49" t="s">
        <v>122</v>
      </c>
      <c r="I15" s="199"/>
      <c r="J15" s="125"/>
      <c r="K15" s="125"/>
      <c r="N15" s="234">
        <v>29539.48</v>
      </c>
      <c r="O15" s="234">
        <v>33605.33</v>
      </c>
      <c r="P15" s="234">
        <f>30736.38*0.96</f>
        <v>29506.924800000001</v>
      </c>
      <c r="Q15" s="234">
        <f>34369.99*0.96</f>
        <v>32995.190399999999</v>
      </c>
      <c r="R15" s="232">
        <f>(N15+O15)/(P15+Q15)*100</f>
        <v>101.0282768798199</v>
      </c>
    </row>
    <row r="16" spans="2:18" ht="50.25" customHeight="1">
      <c r="B16" s="110" t="s">
        <v>143</v>
      </c>
      <c r="C16" s="51" t="s">
        <v>144</v>
      </c>
      <c r="D16" s="52" t="s">
        <v>145</v>
      </c>
      <c r="E16" s="53">
        <v>1.01</v>
      </c>
      <c r="F16" s="54">
        <v>1.05</v>
      </c>
      <c r="G16" s="55">
        <f>($N$15/$N$16*E16)+($O$15/$O$16*F16)</f>
        <v>7591.3356387023869</v>
      </c>
      <c r="H16" s="56">
        <f>($P$15/$P$16*E16)+($Q$15/$Q$16*F16)</f>
        <v>7517.3467608570309</v>
      </c>
      <c r="I16" s="57">
        <f>H16-G16</f>
        <v>-73.988877845356001</v>
      </c>
      <c r="J16" s="126"/>
      <c r="K16" s="126"/>
      <c r="L16" s="7"/>
      <c r="M16" s="58"/>
      <c r="N16" s="235">
        <v>7.97</v>
      </c>
      <c r="O16" s="234">
        <v>9.17</v>
      </c>
      <c r="P16" s="235">
        <v>7.97</v>
      </c>
      <c r="Q16" s="234">
        <v>9.17</v>
      </c>
    </row>
    <row r="17" spans="2:17" ht="51">
      <c r="B17" s="127" t="s">
        <v>129</v>
      </c>
      <c r="C17" s="51" t="s">
        <v>144</v>
      </c>
      <c r="D17" s="52" t="s">
        <v>145</v>
      </c>
      <c r="E17" s="41">
        <v>1.1299999999999999</v>
      </c>
      <c r="F17" s="168">
        <v>1.17</v>
      </c>
      <c r="G17" s="55">
        <f t="shared" ref="G17:G27" si="0">($N$15/$N$16*E17)+($O$15/$O$16*F17)</f>
        <v>8475.8600945612561</v>
      </c>
      <c r="H17" s="56">
        <f t="shared" ref="H17:H21" si="1">($P$15/$P$16*E17)+($Q$15/$Q$16*F17)</f>
        <v>8393.3966719669861</v>
      </c>
      <c r="I17" s="57">
        <f t="shared" ref="I17:I27" si="2">H17-G17</f>
        <v>-82.463422594270014</v>
      </c>
      <c r="J17" s="126"/>
      <c r="K17" s="126"/>
      <c r="L17" s="8"/>
      <c r="M17" s="8"/>
      <c r="N17" s="236"/>
      <c r="O17" s="237"/>
      <c r="P17" s="237"/>
      <c r="Q17" s="237"/>
    </row>
    <row r="18" spans="2:17" ht="52.5" customHeight="1">
      <c r="B18" s="62" t="s">
        <v>123</v>
      </c>
      <c r="C18" s="51" t="s">
        <v>144</v>
      </c>
      <c r="D18" s="52" t="s">
        <v>145</v>
      </c>
      <c r="E18" s="41">
        <v>0.28000000000000003</v>
      </c>
      <c r="F18" s="168">
        <v>0.27</v>
      </c>
      <c r="G18" s="55">
        <f t="shared" si="0"/>
        <v>2027.2433631981437</v>
      </c>
      <c r="H18" s="56">
        <f t="shared" si="1"/>
        <v>2008.1347903361709</v>
      </c>
      <c r="I18" s="57">
        <f t="shared" si="2"/>
        <v>-19.108572861972789</v>
      </c>
      <c r="J18" s="126"/>
      <c r="K18" s="126"/>
      <c r="M18" s="6"/>
      <c r="N18" s="234"/>
      <c r="O18" s="234"/>
      <c r="P18" s="234"/>
      <c r="Q18" s="234"/>
    </row>
    <row r="19" spans="2:17" ht="25.5">
      <c r="B19" s="62" t="s">
        <v>146</v>
      </c>
      <c r="C19" s="59" t="s">
        <v>147</v>
      </c>
      <c r="D19" s="52" t="s">
        <v>145</v>
      </c>
      <c r="E19" s="41">
        <v>0</v>
      </c>
      <c r="F19" s="168">
        <v>0</v>
      </c>
      <c r="G19" s="55">
        <f t="shared" si="0"/>
        <v>0</v>
      </c>
      <c r="H19" s="56">
        <f t="shared" si="1"/>
        <v>0</v>
      </c>
      <c r="I19" s="57">
        <f t="shared" si="2"/>
        <v>0</v>
      </c>
      <c r="J19" s="126"/>
      <c r="K19" s="126"/>
      <c r="M19" s="6"/>
      <c r="N19" s="234"/>
      <c r="O19" s="234"/>
      <c r="P19" s="234"/>
      <c r="Q19" s="234"/>
    </row>
    <row r="20" spans="2:17" ht="51">
      <c r="B20" s="127" t="s">
        <v>124</v>
      </c>
      <c r="C20" s="51" t="s">
        <v>144</v>
      </c>
      <c r="D20" s="52" t="s">
        <v>145</v>
      </c>
      <c r="E20" s="41">
        <v>1.1399999999999999</v>
      </c>
      <c r="F20" s="168">
        <v>1.33</v>
      </c>
      <c r="G20" s="55">
        <f t="shared" si="0"/>
        <v>9099.2759729711615</v>
      </c>
      <c r="H20" s="56">
        <f t="shared" si="1"/>
        <v>9006.1258650320378</v>
      </c>
      <c r="I20" s="57">
        <f t="shared" si="2"/>
        <v>-93.1501079391237</v>
      </c>
      <c r="J20" s="126"/>
      <c r="K20" s="126"/>
      <c r="N20" s="234"/>
      <c r="O20" s="234"/>
      <c r="P20" s="234"/>
      <c r="Q20" s="234"/>
    </row>
    <row r="21" spans="2:17" ht="145.5" customHeight="1">
      <c r="B21" s="127" t="s">
        <v>125</v>
      </c>
      <c r="C21" s="51" t="s">
        <v>148</v>
      </c>
      <c r="D21" s="52" t="s">
        <v>145</v>
      </c>
      <c r="E21" s="41">
        <v>2.41</v>
      </c>
      <c r="F21" s="168">
        <v>2.79</v>
      </c>
      <c r="G21" s="55">
        <f t="shared" si="0"/>
        <v>19156.786773122767</v>
      </c>
      <c r="H21" s="56">
        <f t="shared" si="1"/>
        <v>18961.305800433194</v>
      </c>
      <c r="I21" s="57">
        <f t="shared" si="2"/>
        <v>-195.48097268957281</v>
      </c>
      <c r="J21" s="126"/>
      <c r="K21" s="126"/>
      <c r="L21" s="8"/>
      <c r="M21" s="60"/>
      <c r="N21" s="237"/>
      <c r="O21" s="237"/>
      <c r="P21" s="237"/>
      <c r="Q21" s="237"/>
    </row>
    <row r="22" spans="2:17" ht="27.75" customHeight="1">
      <c r="B22" s="62" t="s">
        <v>149</v>
      </c>
      <c r="C22" s="51" t="s">
        <v>147</v>
      </c>
      <c r="D22" s="52" t="s">
        <v>145</v>
      </c>
      <c r="E22" s="41">
        <v>1.94</v>
      </c>
      <c r="F22" s="168">
        <v>2</v>
      </c>
      <c r="G22" s="55">
        <v>13982.58</v>
      </c>
      <c r="H22" s="40">
        <v>14205.15</v>
      </c>
      <c r="I22" s="57">
        <f t="shared" si="2"/>
        <v>222.56999999999971</v>
      </c>
      <c r="J22" s="126"/>
      <c r="K22" s="126"/>
      <c r="N22" s="234"/>
      <c r="O22" s="234"/>
      <c r="P22" s="234"/>
      <c r="Q22" s="234"/>
    </row>
    <row r="23" spans="2:17" ht="108.75" customHeight="1">
      <c r="B23" s="127" t="s">
        <v>150</v>
      </c>
      <c r="C23" s="51" t="s">
        <v>144</v>
      </c>
      <c r="D23" s="52" t="s">
        <v>145</v>
      </c>
      <c r="E23" s="41">
        <v>0.22</v>
      </c>
      <c r="F23" s="168">
        <v>0.21</v>
      </c>
      <c r="G23" s="55">
        <f t="shared" si="0"/>
        <v>1584.9811352687079</v>
      </c>
      <c r="H23" s="56">
        <f t="shared" ref="H23" si="3">($P$15/$P$16*E23)+($Q$15/$Q$16*F23)</f>
        <v>1570.1098347811928</v>
      </c>
      <c r="I23" s="57">
        <f t="shared" si="2"/>
        <v>-14.8713004875151</v>
      </c>
      <c r="J23" s="126"/>
      <c r="K23" s="126"/>
      <c r="N23" s="234"/>
      <c r="O23" s="234"/>
      <c r="P23" s="234"/>
      <c r="Q23" s="234"/>
    </row>
    <row r="24" spans="2:17" ht="48">
      <c r="B24" s="62" t="s">
        <v>151</v>
      </c>
      <c r="C24" s="51" t="s">
        <v>144</v>
      </c>
      <c r="D24" s="52" t="s">
        <v>145</v>
      </c>
      <c r="E24" s="41">
        <v>2.66</v>
      </c>
      <c r="F24" s="168">
        <v>3</v>
      </c>
      <c r="G24" s="55">
        <v>20977.85</v>
      </c>
      <c r="H24" s="128">
        <v>40128</v>
      </c>
      <c r="I24" s="57">
        <f t="shared" si="2"/>
        <v>19150.150000000001</v>
      </c>
      <c r="J24" s="126"/>
      <c r="K24" s="126"/>
      <c r="M24" s="6"/>
      <c r="N24" s="234"/>
      <c r="O24" s="234"/>
      <c r="P24" s="234"/>
      <c r="Q24" s="234"/>
    </row>
    <row r="25" spans="2:17" ht="67.5" customHeight="1">
      <c r="B25" s="127" t="s">
        <v>152</v>
      </c>
      <c r="C25" s="59" t="s">
        <v>148</v>
      </c>
      <c r="D25" s="52" t="s">
        <v>145</v>
      </c>
      <c r="E25" s="41">
        <v>0.71</v>
      </c>
      <c r="F25" s="168">
        <v>1.44</v>
      </c>
      <c r="G25" s="55">
        <f t="shared" si="0"/>
        <v>7908.669831661533</v>
      </c>
      <c r="H25" s="56">
        <f>($P$15/$P$16*E25)+($Q$15/$Q$16*F25)</f>
        <v>7809.9571385892295</v>
      </c>
      <c r="I25" s="57">
        <f t="shared" si="2"/>
        <v>-98.712693072303409</v>
      </c>
      <c r="J25" s="126"/>
      <c r="K25" s="126"/>
      <c r="L25" s="172"/>
      <c r="M25" s="6"/>
      <c r="N25" s="234"/>
      <c r="O25" s="234"/>
      <c r="P25" s="234"/>
      <c r="Q25" s="234"/>
    </row>
    <row r="26" spans="2:17" ht="63.75">
      <c r="B26" s="127" t="s">
        <v>126</v>
      </c>
      <c r="C26" s="59" t="s">
        <v>148</v>
      </c>
      <c r="D26" s="52" t="s">
        <v>145</v>
      </c>
      <c r="E26" s="41">
        <v>0.25</v>
      </c>
      <c r="F26" s="168">
        <v>0.83</v>
      </c>
      <c r="G26" s="55">
        <f t="shared" si="0"/>
        <v>3968.2872437808628</v>
      </c>
      <c r="H26" s="56">
        <f t="shared" ref="H26:H27" si="4">($P$15/$P$16*E26)+($Q$15/$Q$16*F26)</f>
        <v>3912.040778861844</v>
      </c>
      <c r="I26" s="57">
        <f t="shared" si="2"/>
        <v>-56.246464919018763</v>
      </c>
      <c r="J26" s="126"/>
      <c r="K26" s="126"/>
      <c r="L26" s="64"/>
      <c r="M26" s="6"/>
      <c r="N26" s="238"/>
      <c r="O26" s="238"/>
      <c r="P26" s="234"/>
      <c r="Q26" s="234"/>
    </row>
    <row r="27" spans="2:17">
      <c r="B27" s="62" t="s">
        <v>127</v>
      </c>
      <c r="C27" s="129" t="s">
        <v>148</v>
      </c>
      <c r="D27" s="52" t="s">
        <v>145</v>
      </c>
      <c r="E27" s="41">
        <v>0.82</v>
      </c>
      <c r="F27" s="168">
        <v>0.08</v>
      </c>
      <c r="G27" s="55">
        <f t="shared" si="0"/>
        <v>3332.369946733183</v>
      </c>
      <c r="H27" s="56">
        <f t="shared" si="4"/>
        <v>3323.6975591423125</v>
      </c>
      <c r="I27" s="57">
        <f t="shared" si="2"/>
        <v>-8.672387590870585</v>
      </c>
      <c r="J27" s="126"/>
      <c r="K27" s="126"/>
      <c r="N27" s="234"/>
      <c r="O27" s="234"/>
      <c r="P27" s="234"/>
      <c r="Q27" s="234"/>
    </row>
    <row r="28" spans="2:17" ht="16.5" thickBot="1">
      <c r="B28" s="33" t="s">
        <v>128</v>
      </c>
      <c r="C28" s="130"/>
      <c r="D28" s="130"/>
      <c r="E28" s="34">
        <f>SUM(E16:E27)</f>
        <v>12.57</v>
      </c>
      <c r="F28" s="131">
        <f>SUM(F16:F27)</f>
        <v>14.17</v>
      </c>
      <c r="G28" s="132">
        <f>SUM(G16:G27)</f>
        <v>98105.24000000002</v>
      </c>
      <c r="H28" s="133">
        <f>SUM(H16:H27)</f>
        <v>116835.26519999999</v>
      </c>
      <c r="I28" s="134">
        <f>H28-G28</f>
        <v>18730.025199999975</v>
      </c>
      <c r="J28" s="135"/>
      <c r="K28" s="135"/>
      <c r="N28" s="234"/>
      <c r="O28" s="234"/>
      <c r="P28" s="234"/>
      <c r="Q28" s="234"/>
    </row>
    <row r="29" spans="2:17">
      <c r="B29" s="6"/>
      <c r="C29" s="6"/>
      <c r="D29" s="6"/>
      <c r="E29" s="29"/>
      <c r="F29" s="29"/>
      <c r="G29" s="29"/>
      <c r="H29" s="29"/>
      <c r="I29" s="2"/>
      <c r="J29" s="2"/>
      <c r="K29" s="2"/>
      <c r="N29" s="234"/>
      <c r="O29" s="234"/>
      <c r="P29" s="234"/>
      <c r="Q29" s="234"/>
    </row>
    <row r="30" spans="2:17" ht="16.5" thickBot="1">
      <c r="B30" s="207" t="s">
        <v>153</v>
      </c>
      <c r="C30" s="207"/>
      <c r="D30" s="207"/>
      <c r="E30" s="207"/>
      <c r="F30" s="207"/>
      <c r="G30" s="207"/>
      <c r="H30" s="207"/>
      <c r="I30" s="207"/>
      <c r="J30" s="167"/>
      <c r="K30" s="167"/>
      <c r="N30" s="234"/>
      <c r="O30" s="234"/>
      <c r="P30" s="234"/>
      <c r="Q30" s="234"/>
    </row>
    <row r="31" spans="2:17" ht="44.25" customHeight="1">
      <c r="B31" s="20"/>
      <c r="C31" s="65"/>
      <c r="D31" s="208" t="s">
        <v>154</v>
      </c>
      <c r="E31" s="209"/>
      <c r="F31" s="210" t="s">
        <v>10</v>
      </c>
      <c r="G31" s="211"/>
      <c r="H31" s="210" t="s">
        <v>11</v>
      </c>
      <c r="I31" s="212"/>
      <c r="J31" s="172"/>
      <c r="K31" s="172"/>
      <c r="L31" s="24"/>
      <c r="M31" s="9"/>
      <c r="N31" s="238"/>
      <c r="O31" s="238"/>
      <c r="P31" s="238"/>
      <c r="Q31" s="238"/>
    </row>
    <row r="32" spans="2:17">
      <c r="B32" s="21" t="s">
        <v>12</v>
      </c>
      <c r="C32" s="67"/>
      <c r="D32" s="203">
        <f>F32+H32</f>
        <v>98105.239999999991</v>
      </c>
      <c r="E32" s="204"/>
      <c r="F32" s="203">
        <f>29539.48+33605.33+13982.58</f>
        <v>77127.39</v>
      </c>
      <c r="G32" s="204"/>
      <c r="H32" s="203">
        <f>G24</f>
        <v>20977.85</v>
      </c>
      <c r="I32" s="213"/>
      <c r="J32" s="173"/>
      <c r="K32" s="173"/>
      <c r="L32" s="10"/>
      <c r="M32" s="10"/>
      <c r="N32" s="234"/>
      <c r="O32" s="234"/>
      <c r="P32" s="234"/>
      <c r="Q32" s="234"/>
    </row>
    <row r="33" spans="2:17">
      <c r="B33" s="21" t="s">
        <v>13</v>
      </c>
      <c r="C33" s="67"/>
      <c r="D33" s="203">
        <f>F33+H33</f>
        <v>92417.31</v>
      </c>
      <c r="E33" s="204"/>
      <c r="F33" s="203">
        <f>27937.62+31782.98+12856.45</f>
        <v>72577.05</v>
      </c>
      <c r="G33" s="204"/>
      <c r="H33" s="203">
        <v>19840.259999999998</v>
      </c>
      <c r="I33" s="213"/>
      <c r="J33" s="173"/>
      <c r="K33" s="173"/>
      <c r="L33" s="25"/>
      <c r="M33" s="10"/>
      <c r="N33" s="234"/>
      <c r="O33" s="234"/>
      <c r="P33" s="234"/>
      <c r="Q33" s="234"/>
    </row>
    <row r="34" spans="2:17" ht="16.5" thickBot="1">
      <c r="B34" s="22" t="s">
        <v>114</v>
      </c>
      <c r="C34" s="69"/>
      <c r="D34" s="205">
        <f>F34+H34</f>
        <v>116835.26519999999</v>
      </c>
      <c r="E34" s="206"/>
      <c r="F34" s="205">
        <f>H16+H17+H18+H19+H20+H21+H22+H23+H25+H26+H27</f>
        <v>76707.265199999994</v>
      </c>
      <c r="G34" s="206"/>
      <c r="H34" s="205">
        <f>H24</f>
        <v>40128</v>
      </c>
      <c r="I34" s="214"/>
      <c r="J34" s="173"/>
      <c r="K34" s="173"/>
      <c r="L34" s="10"/>
      <c r="M34" s="10"/>
      <c r="N34" s="234"/>
      <c r="O34" s="234"/>
      <c r="P34" s="234"/>
      <c r="Q34" s="234"/>
    </row>
    <row r="35" spans="2:17" ht="27" thickBot="1">
      <c r="B35" s="23" t="s">
        <v>115</v>
      </c>
      <c r="C35" s="72"/>
      <c r="D35" s="184">
        <f>F35+H35</f>
        <v>-24417.955199999993</v>
      </c>
      <c r="E35" s="185"/>
      <c r="F35" s="182">
        <f>F33-F34</f>
        <v>-4130.2151999999915</v>
      </c>
      <c r="G35" s="183"/>
      <c r="H35" s="182">
        <f>H33-H34</f>
        <v>-20287.740000000002</v>
      </c>
      <c r="I35" s="202"/>
      <c r="J35" s="173"/>
      <c r="K35" s="173"/>
      <c r="L35" s="10"/>
      <c r="M35" s="10"/>
      <c r="N35" s="234"/>
      <c r="O35" s="234"/>
      <c r="P35" s="234"/>
      <c r="Q35" s="234"/>
    </row>
    <row r="36" spans="2:17" ht="34.5" customHeight="1">
      <c r="B36" s="164" t="s">
        <v>116</v>
      </c>
      <c r="C36" s="164"/>
      <c r="D36" s="136"/>
      <c r="E36" s="180" t="s">
        <v>117</v>
      </c>
      <c r="F36" s="180"/>
      <c r="G36" s="178" t="s">
        <v>14</v>
      </c>
      <c r="H36" s="178"/>
      <c r="I36" s="164"/>
      <c r="J36" s="164"/>
      <c r="K36" s="164"/>
      <c r="L36" s="8"/>
      <c r="M36" s="8"/>
      <c r="N36" s="237"/>
      <c r="O36" s="237"/>
      <c r="P36" s="237"/>
      <c r="Q36" s="237"/>
    </row>
    <row r="37" spans="2:17" ht="11.25" customHeight="1">
      <c r="B37" s="164"/>
      <c r="C37" s="164"/>
      <c r="D37" s="164"/>
      <c r="E37" s="179" t="s">
        <v>15</v>
      </c>
      <c r="F37" s="179"/>
      <c r="G37" s="181"/>
      <c r="H37" s="181"/>
      <c r="I37" s="165"/>
      <c r="J37" s="165"/>
      <c r="K37" s="165"/>
      <c r="L37" s="8"/>
      <c r="M37" s="8"/>
      <c r="N37" s="237"/>
      <c r="O37" s="237"/>
      <c r="P37" s="237"/>
      <c r="Q37" s="237"/>
    </row>
    <row r="38" spans="2:17">
      <c r="B38" s="164" t="s">
        <v>118</v>
      </c>
      <c r="C38" s="164"/>
      <c r="D38" s="164"/>
      <c r="E38" s="177" t="s">
        <v>117</v>
      </c>
      <c r="F38" s="177"/>
      <c r="G38" s="178" t="s">
        <v>131</v>
      </c>
      <c r="H38" s="178"/>
      <c r="I38" s="164"/>
      <c r="J38" s="164"/>
      <c r="K38" s="164"/>
      <c r="L38" s="8"/>
      <c r="M38" s="8"/>
      <c r="N38" s="237"/>
      <c r="O38" s="237"/>
      <c r="P38" s="237"/>
      <c r="Q38" s="237"/>
    </row>
    <row r="39" spans="2:17" ht="9.75" customHeight="1">
      <c r="B39" s="164"/>
      <c r="C39" s="164"/>
      <c r="D39" s="164"/>
      <c r="E39" s="179" t="s">
        <v>15</v>
      </c>
      <c r="F39" s="179"/>
      <c r="G39" s="178"/>
      <c r="H39" s="178"/>
      <c r="I39" s="164"/>
      <c r="J39" s="164"/>
      <c r="K39" s="164"/>
      <c r="N39" s="234"/>
      <c r="O39" s="234"/>
      <c r="P39" s="234"/>
      <c r="Q39" s="234"/>
    </row>
    <row r="40" spans="2:17">
      <c r="B40" s="164" t="s">
        <v>119</v>
      </c>
      <c r="C40" s="164"/>
      <c r="D40" s="164"/>
      <c r="E40" s="177" t="s">
        <v>117</v>
      </c>
      <c r="F40" s="177"/>
      <c r="G40" s="178" t="s">
        <v>157</v>
      </c>
      <c r="H40" s="178"/>
      <c r="I40" s="164"/>
      <c r="J40" s="164"/>
      <c r="K40" s="164"/>
      <c r="N40" s="234"/>
      <c r="O40" s="234"/>
      <c r="P40" s="234"/>
      <c r="Q40" s="234"/>
    </row>
    <row r="41" spans="2:17" ht="8.25" customHeight="1">
      <c r="B41" s="27"/>
      <c r="C41" s="27"/>
      <c r="D41" s="27"/>
      <c r="E41" s="179" t="s">
        <v>15</v>
      </c>
      <c r="F41" s="179"/>
      <c r="G41" s="169"/>
      <c r="H41" s="137"/>
      <c r="I41" s="170"/>
      <c r="J41" s="170"/>
      <c r="K41" s="170"/>
      <c r="N41" s="234"/>
      <c r="O41" s="234"/>
      <c r="P41" s="234"/>
      <c r="Q41" s="234"/>
    </row>
    <row r="42" spans="2:17">
      <c r="B42" s="164" t="s">
        <v>120</v>
      </c>
      <c r="C42" s="164"/>
      <c r="D42" s="164"/>
      <c r="E42" s="177" t="s">
        <v>117</v>
      </c>
      <c r="F42" s="177"/>
      <c r="G42" s="178" t="s">
        <v>93</v>
      </c>
      <c r="H42" s="178"/>
    </row>
    <row r="43" spans="2:17" ht="9" customHeight="1">
      <c r="B43" s="138"/>
      <c r="C43" s="138"/>
      <c r="D43" s="138"/>
      <c r="E43" s="179" t="s">
        <v>15</v>
      </c>
      <c r="F43" s="179"/>
      <c r="G43" s="179"/>
      <c r="H43" s="179"/>
    </row>
  </sheetData>
  <mergeCells count="42">
    <mergeCell ref="B30:I30"/>
    <mergeCell ref="D31:E31"/>
    <mergeCell ref="F31:G31"/>
    <mergeCell ref="H31:I31"/>
    <mergeCell ref="D32:E32"/>
    <mergeCell ref="F32:G32"/>
    <mergeCell ref="H32:I32"/>
    <mergeCell ref="B13:I13"/>
    <mergeCell ref="B14:B15"/>
    <mergeCell ref="C14:C15"/>
    <mergeCell ref="D14:D15"/>
    <mergeCell ref="E14:E15"/>
    <mergeCell ref="F14:F15"/>
    <mergeCell ref="G14:H14"/>
    <mergeCell ref="I14:I15"/>
    <mergeCell ref="B2:I3"/>
    <mergeCell ref="D5:F5"/>
    <mergeCell ref="D12:E12"/>
    <mergeCell ref="D33:E33"/>
    <mergeCell ref="F33:G33"/>
    <mergeCell ref="H33:I33"/>
    <mergeCell ref="H34:I34"/>
    <mergeCell ref="H35:I35"/>
    <mergeCell ref="F34:G34"/>
    <mergeCell ref="F35:G35"/>
    <mergeCell ref="D35:E35"/>
    <mergeCell ref="D34:E34"/>
    <mergeCell ref="G36:H36"/>
    <mergeCell ref="E37:F37"/>
    <mergeCell ref="G37:H37"/>
    <mergeCell ref="E38:F38"/>
    <mergeCell ref="G38:H38"/>
    <mergeCell ref="E36:F36"/>
    <mergeCell ref="E43:F43"/>
    <mergeCell ref="G43:H43"/>
    <mergeCell ref="G39:H39"/>
    <mergeCell ref="E40:F40"/>
    <mergeCell ref="G40:H40"/>
    <mergeCell ref="E41:F41"/>
    <mergeCell ref="E42:F42"/>
    <mergeCell ref="G42:H42"/>
    <mergeCell ref="E39:F39"/>
  </mergeCells>
  <printOptions horizontalCentered="1"/>
  <pageMargins left="0.19685039370078741" right="0.19685039370078741" top="0.15748031496062992" bottom="0.23622047244094491" header="0.31496062992125984" footer="0.31496062992125984"/>
  <pageSetup paperSize="9" scale="4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B1:R44"/>
  <sheetViews>
    <sheetView zoomScale="110" zoomScaleNormal="110" workbookViewId="0">
      <selection activeCell="B20" sqref="B20"/>
    </sheetView>
  </sheetViews>
  <sheetFormatPr defaultColWidth="9.140625" defaultRowHeight="15.75" outlineLevelRow="1"/>
  <cols>
    <col min="1" max="1" width="2.85546875" style="1" customWidth="1"/>
    <col min="2" max="2" width="55.7109375" style="1" customWidth="1"/>
    <col min="3" max="3" width="12.140625" style="35" customWidth="1"/>
    <col min="4" max="4" width="8.85546875" style="2" customWidth="1"/>
    <col min="5" max="5" width="11" style="2" customWidth="1"/>
    <col min="6" max="6" width="10.85546875" style="2" customWidth="1"/>
    <col min="7" max="7" width="10" style="1" customWidth="1"/>
    <col min="8" max="8" width="10.28515625" style="1" customWidth="1"/>
    <col min="9" max="9" width="11" style="1" customWidth="1"/>
    <col min="10" max="13" width="9.140625" style="1"/>
    <col min="14" max="14" width="12.5703125" style="232" customWidth="1"/>
    <col min="15" max="15" width="13.42578125" style="232" customWidth="1"/>
    <col min="16" max="16" width="13" style="232" customWidth="1"/>
    <col min="17" max="17" width="13.7109375" style="232" customWidth="1"/>
    <col min="18" max="18" width="9.140625" style="232"/>
    <col min="19" max="16384" width="9.140625" style="1"/>
  </cols>
  <sheetData>
    <row r="1" spans="2:18">
      <c r="B1" s="137"/>
      <c r="C1" s="137"/>
      <c r="D1" s="137"/>
      <c r="E1" s="137"/>
      <c r="F1" s="137"/>
      <c r="G1" s="137"/>
      <c r="H1" s="137"/>
      <c r="I1" s="137"/>
    </row>
    <row r="2" spans="2:18" ht="19.5" customHeight="1">
      <c r="B2" s="186" t="s">
        <v>161</v>
      </c>
      <c r="C2" s="186"/>
      <c r="D2" s="186"/>
      <c r="E2" s="186"/>
      <c r="F2" s="186"/>
      <c r="G2" s="186"/>
      <c r="H2" s="186"/>
      <c r="I2" s="186"/>
    </row>
    <row r="3" spans="2:18" ht="20.25" customHeight="1">
      <c r="B3" s="186"/>
      <c r="C3" s="186"/>
      <c r="D3" s="186"/>
      <c r="E3" s="186"/>
      <c r="F3" s="186"/>
      <c r="G3" s="186"/>
      <c r="H3" s="186"/>
      <c r="I3" s="186"/>
    </row>
    <row r="4" spans="2:18" ht="12.75" customHeight="1"/>
    <row r="5" spans="2:18">
      <c r="B5" s="1" t="s">
        <v>0</v>
      </c>
      <c r="D5" s="200" t="s">
        <v>18</v>
      </c>
      <c r="E5" s="200"/>
      <c r="F5" s="200"/>
    </row>
    <row r="6" spans="2:18">
      <c r="B6" s="1" t="s">
        <v>1</v>
      </c>
      <c r="D6" s="3">
        <v>1966</v>
      </c>
      <c r="E6" s="3"/>
      <c r="F6" s="3"/>
    </row>
    <row r="7" spans="2:18" hidden="1" outlineLevel="1">
      <c r="B7" s="1" t="s">
        <v>2</v>
      </c>
      <c r="D7" s="3">
        <v>2</v>
      </c>
      <c r="E7" s="3"/>
      <c r="F7" s="3"/>
    </row>
    <row r="8" spans="2:18" hidden="1" outlineLevel="1">
      <c r="B8" s="1" t="s">
        <v>3</v>
      </c>
      <c r="D8" s="3">
        <v>16</v>
      </c>
      <c r="E8" s="3"/>
      <c r="F8" s="3"/>
    </row>
    <row r="9" spans="2:18" ht="30.75" hidden="1" customHeight="1" outlineLevel="1">
      <c r="B9" s="4" t="s">
        <v>4</v>
      </c>
      <c r="C9" s="36"/>
      <c r="D9" s="3" t="s">
        <v>17</v>
      </c>
      <c r="E9" s="3"/>
      <c r="F9" s="3"/>
    </row>
    <row r="10" spans="2:18" collapsed="1">
      <c r="B10" s="1" t="s">
        <v>5</v>
      </c>
      <c r="D10" s="16" t="s">
        <v>94</v>
      </c>
      <c r="E10" s="3"/>
      <c r="F10" s="3"/>
      <c r="I10" s="6"/>
    </row>
    <row r="11" spans="2:18" hidden="1" outlineLevel="1">
      <c r="B11" s="1" t="s">
        <v>6</v>
      </c>
      <c r="D11" s="3" t="s">
        <v>7</v>
      </c>
      <c r="E11" s="3"/>
      <c r="F11" s="3"/>
    </row>
    <row r="12" spans="2:18" ht="30.75" hidden="1" customHeight="1" outlineLevel="1">
      <c r="B12" s="4" t="s">
        <v>8</v>
      </c>
      <c r="C12" s="36"/>
      <c r="D12" s="201" t="s">
        <v>9</v>
      </c>
      <c r="E12" s="201"/>
      <c r="F12" s="3"/>
      <c r="I12" s="6"/>
    </row>
    <row r="13" spans="2:18" ht="31.5" customHeight="1" collapsed="1" thickBot="1">
      <c r="B13" s="187" t="s">
        <v>132</v>
      </c>
      <c r="C13" s="187"/>
      <c r="D13" s="187"/>
      <c r="E13" s="187"/>
      <c r="F13" s="187"/>
      <c r="G13" s="187"/>
      <c r="H13" s="187"/>
      <c r="I13" s="187"/>
      <c r="J13" s="124"/>
      <c r="K13" s="124"/>
      <c r="M13" s="6"/>
      <c r="N13" s="233" t="s">
        <v>133</v>
      </c>
      <c r="O13" s="233" t="s">
        <v>134</v>
      </c>
      <c r="P13" s="233" t="s">
        <v>135</v>
      </c>
      <c r="Q13" s="233" t="s">
        <v>136</v>
      </c>
    </row>
    <row r="14" spans="2:18" ht="27.75" customHeight="1">
      <c r="B14" s="188" t="s">
        <v>137</v>
      </c>
      <c r="C14" s="190" t="s">
        <v>138</v>
      </c>
      <c r="D14" s="190" t="s">
        <v>139</v>
      </c>
      <c r="E14" s="192" t="s">
        <v>140</v>
      </c>
      <c r="F14" s="194" t="s">
        <v>141</v>
      </c>
      <c r="G14" s="196" t="s">
        <v>142</v>
      </c>
      <c r="H14" s="197"/>
      <c r="I14" s="198" t="s">
        <v>163</v>
      </c>
      <c r="J14" s="125"/>
      <c r="K14" s="125"/>
      <c r="M14" s="6"/>
      <c r="N14" s="233"/>
      <c r="O14" s="233"/>
      <c r="P14" s="233"/>
      <c r="Q14" s="233"/>
    </row>
    <row r="15" spans="2:18" ht="45" customHeight="1" thickBot="1">
      <c r="B15" s="189"/>
      <c r="C15" s="191"/>
      <c r="D15" s="191"/>
      <c r="E15" s="193"/>
      <c r="F15" s="195"/>
      <c r="G15" s="48" t="s">
        <v>121</v>
      </c>
      <c r="H15" s="49" t="s">
        <v>122</v>
      </c>
      <c r="I15" s="199"/>
      <c r="J15" s="125"/>
      <c r="K15" s="125"/>
      <c r="N15" s="234">
        <v>31534.55</v>
      </c>
      <c r="O15" s="234">
        <v>35850.639999999999</v>
      </c>
      <c r="P15" s="234">
        <f>30594.29*1.03</f>
        <v>31512.118700000003</v>
      </c>
      <c r="Q15" s="234">
        <f>34211.11*1.03</f>
        <v>35237.443299999999</v>
      </c>
      <c r="R15" s="232">
        <f>(N15+O15)/(P15+Q15)*100</f>
        <v>100.95225793391722</v>
      </c>
    </row>
    <row r="16" spans="2:18" ht="50.25" customHeight="1">
      <c r="B16" s="110" t="s">
        <v>143</v>
      </c>
      <c r="C16" s="51" t="s">
        <v>144</v>
      </c>
      <c r="D16" s="52" t="s">
        <v>145</v>
      </c>
      <c r="E16" s="53">
        <v>0</v>
      </c>
      <c r="F16" s="54">
        <v>0</v>
      </c>
      <c r="G16" s="55">
        <f>($N$15/$N$16*E16)+($O$15/$O$16*F16)</f>
        <v>0</v>
      </c>
      <c r="H16" s="56">
        <f>($P$15/$P$16*E16)+($Q$15/$Q$16*F16)</f>
        <v>0</v>
      </c>
      <c r="I16" s="57">
        <f>H16-G16</f>
        <v>0</v>
      </c>
      <c r="J16" s="126"/>
      <c r="K16" s="126"/>
      <c r="L16" s="7"/>
      <c r="M16" s="58"/>
      <c r="N16" s="235">
        <v>7.92</v>
      </c>
      <c r="O16" s="234">
        <v>9.1</v>
      </c>
      <c r="P16" s="235">
        <v>7.92</v>
      </c>
      <c r="Q16" s="234">
        <v>9.1</v>
      </c>
    </row>
    <row r="17" spans="2:17" ht="51">
      <c r="B17" s="127" t="s">
        <v>129</v>
      </c>
      <c r="C17" s="51" t="s">
        <v>144</v>
      </c>
      <c r="D17" s="52" t="s">
        <v>145</v>
      </c>
      <c r="E17" s="41">
        <v>1.1299999999999999</v>
      </c>
      <c r="F17" s="103">
        <v>1.17</v>
      </c>
      <c r="G17" s="55">
        <f t="shared" ref="G17:G27" si="0">($N$15/$N$16*E17)+($O$15/$O$16*F17)</f>
        <v>9108.6156641414127</v>
      </c>
      <c r="H17" s="56">
        <f t="shared" ref="H17:H21" si="1">($P$15/$P$16*E17)+($Q$15/$Q$16*F17)</f>
        <v>9026.5756630483411</v>
      </c>
      <c r="I17" s="57">
        <f t="shared" ref="I17:I27" si="2">H17-G17</f>
        <v>-82.040001093071623</v>
      </c>
      <c r="J17" s="126"/>
      <c r="K17" s="126"/>
      <c r="L17" s="8"/>
      <c r="M17" s="8"/>
      <c r="N17" s="236"/>
      <c r="O17" s="237"/>
      <c r="P17" s="237"/>
      <c r="Q17" s="237"/>
    </row>
    <row r="18" spans="2:17" ht="52.5" customHeight="1">
      <c r="B18" s="62" t="s">
        <v>123</v>
      </c>
      <c r="C18" s="51" t="s">
        <v>144</v>
      </c>
      <c r="D18" s="52" t="s">
        <v>145</v>
      </c>
      <c r="E18" s="41">
        <v>0.28000000000000003</v>
      </c>
      <c r="F18" s="103">
        <v>0.27</v>
      </c>
      <c r="G18" s="55">
        <f t="shared" si="0"/>
        <v>2178.5581359751359</v>
      </c>
      <c r="H18" s="56">
        <f t="shared" si="1"/>
        <v>2159.5713619758026</v>
      </c>
      <c r="I18" s="57">
        <f t="shared" si="2"/>
        <v>-18.986773999333309</v>
      </c>
      <c r="J18" s="126"/>
      <c r="K18" s="126"/>
      <c r="M18" s="6"/>
      <c r="N18" s="234"/>
      <c r="O18" s="234"/>
      <c r="P18" s="234"/>
      <c r="Q18" s="234"/>
    </row>
    <row r="19" spans="2:17" ht="25.5">
      <c r="B19" s="62" t="s">
        <v>146</v>
      </c>
      <c r="C19" s="59" t="s">
        <v>147</v>
      </c>
      <c r="D19" s="52" t="s">
        <v>145</v>
      </c>
      <c r="E19" s="41">
        <v>0</v>
      </c>
      <c r="F19" s="103">
        <v>0</v>
      </c>
      <c r="G19" s="55">
        <f t="shared" si="0"/>
        <v>0</v>
      </c>
      <c r="H19" s="56">
        <f t="shared" si="1"/>
        <v>0</v>
      </c>
      <c r="I19" s="57">
        <f t="shared" si="2"/>
        <v>0</v>
      </c>
      <c r="J19" s="126"/>
      <c r="K19" s="126"/>
      <c r="M19" s="6"/>
      <c r="N19" s="234"/>
      <c r="O19" s="234"/>
      <c r="P19" s="234"/>
      <c r="Q19" s="234"/>
    </row>
    <row r="20" spans="2:17" ht="51">
      <c r="B20" s="127" t="s">
        <v>124</v>
      </c>
      <c r="C20" s="51" t="s">
        <v>144</v>
      </c>
      <c r="D20" s="52" t="s">
        <v>145</v>
      </c>
      <c r="E20" s="41">
        <v>1.1399999999999999</v>
      </c>
      <c r="F20" s="103">
        <v>1.33</v>
      </c>
      <c r="G20" s="55">
        <f t="shared" si="0"/>
        <v>9778.7729382284379</v>
      </c>
      <c r="H20" s="56">
        <f t="shared" si="1"/>
        <v>9685.9231343473202</v>
      </c>
      <c r="I20" s="57">
        <f t="shared" si="2"/>
        <v>-92.849803881117623</v>
      </c>
      <c r="J20" s="126"/>
      <c r="K20" s="126"/>
      <c r="N20" s="234"/>
      <c r="O20" s="234"/>
      <c r="P20" s="234"/>
      <c r="Q20" s="234"/>
    </row>
    <row r="21" spans="2:17" ht="145.5" customHeight="1">
      <c r="B21" s="127" t="s">
        <v>125</v>
      </c>
      <c r="C21" s="51" t="s">
        <v>148</v>
      </c>
      <c r="D21" s="52" t="s">
        <v>145</v>
      </c>
      <c r="E21" s="41">
        <v>3.67</v>
      </c>
      <c r="F21" s="103">
        <v>3.33</v>
      </c>
      <c r="G21" s="55">
        <f t="shared" si="0"/>
        <v>27731.571282245532</v>
      </c>
      <c r="H21" s="56">
        <f t="shared" si="1"/>
        <v>27496.787418703243</v>
      </c>
      <c r="I21" s="57">
        <f t="shared" si="2"/>
        <v>-234.7838635422886</v>
      </c>
      <c r="J21" s="126"/>
      <c r="K21" s="126"/>
      <c r="L21" s="8"/>
      <c r="M21" s="60"/>
      <c r="N21" s="237"/>
      <c r="O21" s="237"/>
      <c r="P21" s="237"/>
      <c r="Q21" s="237"/>
    </row>
    <row r="22" spans="2:17" ht="27.75" customHeight="1">
      <c r="B22" s="62" t="s">
        <v>149</v>
      </c>
      <c r="C22" s="51" t="s">
        <v>147</v>
      </c>
      <c r="D22" s="52" t="s">
        <v>145</v>
      </c>
      <c r="E22" s="41">
        <v>1.94</v>
      </c>
      <c r="F22" s="103">
        <v>2</v>
      </c>
      <c r="G22" s="55">
        <v>14617.92</v>
      </c>
      <c r="H22" s="40">
        <v>14139.48</v>
      </c>
      <c r="I22" s="57">
        <f t="shared" si="2"/>
        <v>-478.44000000000051</v>
      </c>
      <c r="J22" s="126"/>
      <c r="K22" s="126"/>
      <c r="N22" s="234"/>
      <c r="O22" s="234"/>
      <c r="P22" s="234"/>
      <c r="Q22" s="234"/>
    </row>
    <row r="23" spans="2:17" ht="108.75" customHeight="1">
      <c r="B23" s="127" t="s">
        <v>150</v>
      </c>
      <c r="C23" s="51" t="s">
        <v>144</v>
      </c>
      <c r="D23" s="52" t="s">
        <v>145</v>
      </c>
      <c r="E23" s="41">
        <v>0.22</v>
      </c>
      <c r="F23" s="103">
        <v>0.21</v>
      </c>
      <c r="G23" s="55">
        <f t="shared" si="0"/>
        <v>1703.2821837606839</v>
      </c>
      <c r="H23" s="56">
        <f t="shared" ref="H23" si="3">($P$15/$P$16*E23)+($Q$15/$Q$16*F23)</f>
        <v>1688.5083990170942</v>
      </c>
      <c r="I23" s="57">
        <f t="shared" si="2"/>
        <v>-14.773784743589658</v>
      </c>
      <c r="J23" s="126"/>
      <c r="K23" s="126"/>
      <c r="N23" s="234"/>
      <c r="O23" s="234"/>
      <c r="P23" s="234"/>
      <c r="Q23" s="234"/>
    </row>
    <row r="24" spans="2:17" ht="48">
      <c r="B24" s="62" t="s">
        <v>151</v>
      </c>
      <c r="C24" s="51" t="s">
        <v>144</v>
      </c>
      <c r="D24" s="52" t="s">
        <v>145</v>
      </c>
      <c r="E24" s="41">
        <v>2.58</v>
      </c>
      <c r="F24" s="103">
        <v>3</v>
      </c>
      <c r="G24" s="55">
        <v>22217.52</v>
      </c>
      <c r="H24" s="128">
        <v>2537</v>
      </c>
      <c r="I24" s="57">
        <f t="shared" si="2"/>
        <v>-19680.52</v>
      </c>
      <c r="J24" s="126"/>
      <c r="K24" s="126"/>
      <c r="M24" s="6"/>
      <c r="N24" s="234"/>
      <c r="O24" s="234"/>
      <c r="P24" s="234"/>
      <c r="Q24" s="234"/>
    </row>
    <row r="25" spans="2:17" ht="63.75">
      <c r="B25" s="127" t="s">
        <v>152</v>
      </c>
      <c r="C25" s="59" t="s">
        <v>148</v>
      </c>
      <c r="D25" s="52" t="s">
        <v>145</v>
      </c>
      <c r="E25" s="41">
        <v>0.71</v>
      </c>
      <c r="F25" s="103">
        <v>1.44</v>
      </c>
      <c r="G25" s="55">
        <f t="shared" si="0"/>
        <v>8500.0292294094779</v>
      </c>
      <c r="H25" s="56">
        <f t="shared" ref="H25:H27" si="4">($P$15/$P$16*E25)+($Q$15/$Q$16*F25)</f>
        <v>8400.9850187110114</v>
      </c>
      <c r="I25" s="57">
        <f t="shared" si="2"/>
        <v>-99.044210698466486</v>
      </c>
      <c r="J25" s="126"/>
      <c r="K25" s="126"/>
      <c r="L25" s="108"/>
      <c r="M25" s="6"/>
      <c r="N25" s="234"/>
      <c r="O25" s="234"/>
      <c r="P25" s="234"/>
      <c r="Q25" s="234"/>
    </row>
    <row r="26" spans="2:17" ht="63.75">
      <c r="B26" s="127" t="s">
        <v>126</v>
      </c>
      <c r="C26" s="59" t="s">
        <v>148</v>
      </c>
      <c r="D26" s="52" t="s">
        <v>145</v>
      </c>
      <c r="E26" s="41">
        <v>0.25</v>
      </c>
      <c r="F26" s="103">
        <v>0.83</v>
      </c>
      <c r="G26" s="55">
        <f t="shared" si="0"/>
        <v>4265.3023137140635</v>
      </c>
      <c r="H26" s="56">
        <f t="shared" si="4"/>
        <v>4208.6653252217229</v>
      </c>
      <c r="I26" s="57">
        <f t="shared" si="2"/>
        <v>-56.636988492340606</v>
      </c>
      <c r="J26" s="126"/>
      <c r="K26" s="126"/>
      <c r="L26" s="64"/>
      <c r="M26" s="6"/>
      <c r="N26" s="238"/>
      <c r="O26" s="238"/>
      <c r="P26" s="234"/>
      <c r="Q26" s="234"/>
    </row>
    <row r="27" spans="2:17">
      <c r="B27" s="62" t="s">
        <v>127</v>
      </c>
      <c r="C27" s="129" t="s">
        <v>148</v>
      </c>
      <c r="D27" s="52" t="s">
        <v>145</v>
      </c>
      <c r="E27" s="41">
        <v>0.52</v>
      </c>
      <c r="F27" s="103">
        <v>0.52</v>
      </c>
      <c r="G27" s="55">
        <f t="shared" si="0"/>
        <v>4119.058252525253</v>
      </c>
      <c r="H27" s="56">
        <f t="shared" si="4"/>
        <v>4082.5456789754699</v>
      </c>
      <c r="I27" s="57">
        <f t="shared" si="2"/>
        <v>-36.512573549783156</v>
      </c>
      <c r="J27" s="126"/>
      <c r="K27" s="126"/>
      <c r="N27" s="234"/>
      <c r="O27" s="234"/>
      <c r="P27" s="234"/>
      <c r="Q27" s="234"/>
    </row>
    <row r="28" spans="2:17" ht="16.5" thickBot="1">
      <c r="B28" s="33" t="s">
        <v>128</v>
      </c>
      <c r="C28" s="130"/>
      <c r="D28" s="130"/>
      <c r="E28" s="34">
        <f>SUM(E16:E27)</f>
        <v>12.440000000000001</v>
      </c>
      <c r="F28" s="131">
        <f>SUM(F16:F27)</f>
        <v>14.1</v>
      </c>
      <c r="G28" s="132">
        <f>SUM(G16:G27)</f>
        <v>104220.63</v>
      </c>
      <c r="H28" s="133">
        <f>SUM(H16:H27)</f>
        <v>83426.042000000001</v>
      </c>
      <c r="I28" s="134">
        <f>H28-G28</f>
        <v>-20794.588000000003</v>
      </c>
      <c r="J28" s="135"/>
      <c r="K28" s="135"/>
      <c r="N28" s="234"/>
      <c r="O28" s="234"/>
      <c r="P28" s="234"/>
      <c r="Q28" s="234"/>
    </row>
    <row r="29" spans="2:17">
      <c r="B29" s="6"/>
      <c r="C29" s="6"/>
      <c r="D29" s="6"/>
      <c r="E29" s="29"/>
      <c r="F29" s="29"/>
      <c r="G29" s="29"/>
      <c r="H29" s="29"/>
      <c r="I29" s="2"/>
      <c r="J29" s="2"/>
      <c r="K29" s="2"/>
      <c r="N29" s="234"/>
      <c r="O29" s="234"/>
      <c r="P29" s="234"/>
      <c r="Q29" s="234"/>
    </row>
    <row r="30" spans="2:17" ht="16.5" thickBot="1">
      <c r="B30" s="207" t="s">
        <v>153</v>
      </c>
      <c r="C30" s="207"/>
      <c r="D30" s="207"/>
      <c r="E30" s="207"/>
      <c r="F30" s="207"/>
      <c r="G30" s="207"/>
      <c r="H30" s="207"/>
      <c r="I30" s="207"/>
      <c r="J30" s="102"/>
      <c r="K30" s="102"/>
      <c r="N30" s="234"/>
      <c r="O30" s="234"/>
      <c r="P30" s="234"/>
      <c r="Q30" s="234"/>
    </row>
    <row r="31" spans="2:17" ht="44.25" customHeight="1">
      <c r="B31" s="20"/>
      <c r="C31" s="65"/>
      <c r="D31" s="208" t="s">
        <v>154</v>
      </c>
      <c r="E31" s="209"/>
      <c r="F31" s="210" t="s">
        <v>10</v>
      </c>
      <c r="G31" s="211"/>
      <c r="H31" s="210" t="s">
        <v>11</v>
      </c>
      <c r="I31" s="212"/>
      <c r="J31" s="108"/>
      <c r="K31" s="108"/>
      <c r="L31" s="24"/>
      <c r="M31" s="9"/>
      <c r="N31" s="238"/>
      <c r="O31" s="238"/>
      <c r="P31" s="238"/>
      <c r="Q31" s="238"/>
    </row>
    <row r="32" spans="2:17">
      <c r="B32" s="21" t="s">
        <v>12</v>
      </c>
      <c r="C32" s="67"/>
      <c r="D32" s="203">
        <f>F32+H32</f>
        <v>104220.63</v>
      </c>
      <c r="E32" s="204"/>
      <c r="F32" s="203">
        <f>31534.55+35850.64+14617.92</f>
        <v>82003.11</v>
      </c>
      <c r="G32" s="204"/>
      <c r="H32" s="203">
        <f>G24</f>
        <v>22217.52</v>
      </c>
      <c r="I32" s="213"/>
      <c r="J32" s="109"/>
      <c r="K32" s="109"/>
      <c r="L32" s="10"/>
      <c r="M32" s="10"/>
      <c r="N32" s="234"/>
      <c r="O32" s="234"/>
      <c r="P32" s="234"/>
      <c r="Q32" s="234"/>
    </row>
    <row r="33" spans="2:17">
      <c r="B33" s="21" t="s">
        <v>13</v>
      </c>
      <c r="C33" s="67"/>
      <c r="D33" s="203">
        <f>F33+H33</f>
        <v>82296.010000000009</v>
      </c>
      <c r="E33" s="204"/>
      <c r="F33" s="203">
        <f>24734.14+28119.47+12016.07</f>
        <v>64869.68</v>
      </c>
      <c r="G33" s="204"/>
      <c r="H33" s="203">
        <v>17426.330000000002</v>
      </c>
      <c r="I33" s="213"/>
      <c r="J33" s="109"/>
      <c r="K33" s="109"/>
      <c r="L33" s="25"/>
      <c r="M33" s="10"/>
      <c r="N33" s="234"/>
      <c r="O33" s="234"/>
      <c r="P33" s="234"/>
      <c r="Q33" s="234"/>
    </row>
    <row r="34" spans="2:17" ht="16.5" thickBot="1">
      <c r="B34" s="22" t="s">
        <v>114</v>
      </c>
      <c r="C34" s="69"/>
      <c r="D34" s="205">
        <f>F34+H34</f>
        <v>83426.042000000001</v>
      </c>
      <c r="E34" s="206"/>
      <c r="F34" s="205">
        <f>H16+H17+H18+H19+H20+H21+H22+H23+H25+H26+H27</f>
        <v>80889.042000000001</v>
      </c>
      <c r="G34" s="206"/>
      <c r="H34" s="205">
        <f>H24</f>
        <v>2537</v>
      </c>
      <c r="I34" s="214"/>
      <c r="J34" s="109"/>
      <c r="K34" s="109"/>
      <c r="L34" s="10"/>
      <c r="M34" s="10"/>
      <c r="N34" s="234"/>
      <c r="O34" s="234"/>
      <c r="P34" s="234"/>
      <c r="Q34" s="234"/>
    </row>
    <row r="35" spans="2:17" ht="27" thickBot="1">
      <c r="B35" s="23" t="s">
        <v>115</v>
      </c>
      <c r="C35" s="72"/>
      <c r="D35" s="184">
        <f>F35+H35</f>
        <v>-1130.0319999999992</v>
      </c>
      <c r="E35" s="185"/>
      <c r="F35" s="182">
        <f>F33-F34</f>
        <v>-16019.362000000001</v>
      </c>
      <c r="G35" s="183"/>
      <c r="H35" s="182">
        <f>H33-H34</f>
        <v>14889.330000000002</v>
      </c>
      <c r="I35" s="202"/>
      <c r="J35" s="109"/>
      <c r="K35" s="109"/>
      <c r="L35" s="10"/>
      <c r="M35" s="10"/>
      <c r="N35" s="234"/>
      <c r="O35" s="234"/>
      <c r="P35" s="234"/>
      <c r="Q35" s="234"/>
    </row>
    <row r="36" spans="2:17" ht="34.5" customHeight="1">
      <c r="B36" s="104" t="s">
        <v>116</v>
      </c>
      <c r="C36" s="104"/>
      <c r="D36" s="136"/>
      <c r="E36" s="180" t="s">
        <v>117</v>
      </c>
      <c r="F36" s="180"/>
      <c r="G36" s="178" t="s">
        <v>14</v>
      </c>
      <c r="H36" s="178"/>
      <c r="I36" s="104"/>
      <c r="J36" s="104"/>
      <c r="K36" s="104"/>
      <c r="L36" s="8"/>
      <c r="M36" s="8"/>
      <c r="N36" s="237"/>
      <c r="O36" s="237"/>
      <c r="P36" s="237"/>
      <c r="Q36" s="237"/>
    </row>
    <row r="37" spans="2:17" ht="11.25" customHeight="1">
      <c r="B37" s="104"/>
      <c r="C37" s="104"/>
      <c r="D37" s="104"/>
      <c r="E37" s="179" t="s">
        <v>15</v>
      </c>
      <c r="F37" s="179"/>
      <c r="G37" s="181"/>
      <c r="H37" s="181"/>
      <c r="I37" s="107"/>
      <c r="J37" s="107"/>
      <c r="K37" s="107"/>
      <c r="L37" s="8"/>
      <c r="M37" s="8"/>
      <c r="N37" s="237"/>
      <c r="O37" s="237"/>
      <c r="P37" s="237"/>
      <c r="Q37" s="237"/>
    </row>
    <row r="38" spans="2:17">
      <c r="B38" s="104" t="s">
        <v>118</v>
      </c>
      <c r="C38" s="104"/>
      <c r="D38" s="104"/>
      <c r="E38" s="177" t="s">
        <v>117</v>
      </c>
      <c r="F38" s="177"/>
      <c r="G38" s="178" t="s">
        <v>131</v>
      </c>
      <c r="H38" s="178"/>
      <c r="I38" s="104"/>
      <c r="J38" s="104"/>
      <c r="K38" s="104"/>
      <c r="L38" s="8"/>
      <c r="M38" s="8"/>
      <c r="N38" s="237"/>
      <c r="O38" s="237"/>
      <c r="P38" s="237"/>
      <c r="Q38" s="237"/>
    </row>
    <row r="39" spans="2:17" ht="9.75" customHeight="1">
      <c r="B39" s="104"/>
      <c r="C39" s="104"/>
      <c r="D39" s="104"/>
      <c r="E39" s="179" t="s">
        <v>15</v>
      </c>
      <c r="F39" s="179"/>
      <c r="G39" s="178"/>
      <c r="H39" s="178"/>
      <c r="I39" s="104"/>
      <c r="J39" s="104"/>
      <c r="K39" s="104"/>
      <c r="N39" s="234"/>
      <c r="O39" s="234"/>
      <c r="P39" s="234"/>
      <c r="Q39" s="234"/>
    </row>
    <row r="40" spans="2:17">
      <c r="B40" s="104" t="s">
        <v>119</v>
      </c>
      <c r="C40" s="104"/>
      <c r="D40" s="104"/>
      <c r="E40" s="177" t="s">
        <v>117</v>
      </c>
      <c r="F40" s="177"/>
      <c r="G40" s="178" t="s">
        <v>157</v>
      </c>
      <c r="H40" s="178"/>
      <c r="I40" s="104"/>
      <c r="J40" s="104"/>
      <c r="K40" s="104"/>
      <c r="N40" s="234"/>
      <c r="O40" s="234"/>
      <c r="P40" s="234"/>
      <c r="Q40" s="234"/>
    </row>
    <row r="41" spans="2:17" ht="8.25" customHeight="1">
      <c r="B41" s="27"/>
      <c r="C41" s="27"/>
      <c r="D41" s="27"/>
      <c r="E41" s="179" t="s">
        <v>15</v>
      </c>
      <c r="F41" s="179"/>
      <c r="G41" s="105"/>
      <c r="H41" s="137"/>
      <c r="I41" s="106"/>
      <c r="J41" s="106"/>
      <c r="K41" s="106"/>
      <c r="N41" s="234"/>
      <c r="O41" s="234"/>
      <c r="P41" s="234"/>
      <c r="Q41" s="234"/>
    </row>
    <row r="42" spans="2:17">
      <c r="B42" s="104" t="s">
        <v>120</v>
      </c>
      <c r="C42" s="104"/>
      <c r="D42" s="104"/>
      <c r="E42" s="177" t="s">
        <v>117</v>
      </c>
      <c r="F42" s="177"/>
      <c r="G42" s="178" t="s">
        <v>93</v>
      </c>
      <c r="H42" s="178"/>
    </row>
    <row r="43" spans="2:17" ht="9" customHeight="1">
      <c r="B43" s="138"/>
      <c r="C43" s="138"/>
      <c r="D43" s="138"/>
      <c r="E43" s="179" t="s">
        <v>15</v>
      </c>
      <c r="F43" s="179"/>
      <c r="G43" s="179"/>
      <c r="H43" s="179"/>
    </row>
    <row r="44" spans="2:17">
      <c r="C44" s="29"/>
      <c r="E44" s="101"/>
      <c r="F44" s="101"/>
    </row>
  </sheetData>
  <mergeCells count="42">
    <mergeCell ref="E40:F40"/>
    <mergeCell ref="G40:H40"/>
    <mergeCell ref="D34:E34"/>
    <mergeCell ref="D35:E35"/>
    <mergeCell ref="D5:F5"/>
    <mergeCell ref="D12:E12"/>
    <mergeCell ref="F33:G33"/>
    <mergeCell ref="F34:G34"/>
    <mergeCell ref="F35:G35"/>
    <mergeCell ref="D33:E33"/>
    <mergeCell ref="E37:F37"/>
    <mergeCell ref="G37:H37"/>
    <mergeCell ref="E38:F38"/>
    <mergeCell ref="G38:H38"/>
    <mergeCell ref="E39:F39"/>
    <mergeCell ref="G39:H39"/>
    <mergeCell ref="B2:I3"/>
    <mergeCell ref="B13:I13"/>
    <mergeCell ref="B14:B15"/>
    <mergeCell ref="C14:C15"/>
    <mergeCell ref="D14:D15"/>
    <mergeCell ref="E14:E15"/>
    <mergeCell ref="F14:F15"/>
    <mergeCell ref="G14:H14"/>
    <mergeCell ref="I14:I15"/>
    <mergeCell ref="B30:I30"/>
    <mergeCell ref="D31:E31"/>
    <mergeCell ref="F31:G31"/>
    <mergeCell ref="H31:I31"/>
    <mergeCell ref="D32:E32"/>
    <mergeCell ref="F32:G32"/>
    <mergeCell ref="H32:I32"/>
    <mergeCell ref="H33:I33"/>
    <mergeCell ref="H34:I34"/>
    <mergeCell ref="H35:I35"/>
    <mergeCell ref="E36:F36"/>
    <mergeCell ref="G36:H36"/>
    <mergeCell ref="E41:F41"/>
    <mergeCell ref="E42:F42"/>
    <mergeCell ref="G42:H42"/>
    <mergeCell ref="E43:F43"/>
    <mergeCell ref="G43:H43"/>
  </mergeCells>
  <printOptions horizontalCentered="1"/>
  <pageMargins left="0.19685039370078741" right="0.19685039370078741" top="0.15748031496062992" bottom="0.23622047244094491" header="0.16" footer="0.25"/>
  <pageSetup paperSize="9" scale="43" orientation="portrait" horizontalDpi="180" verticalDpi="180" r:id="rId1"/>
</worksheet>
</file>

<file path=xl/worksheets/sheet2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53"/>
  <sheetViews>
    <sheetView zoomScale="110" zoomScaleNormal="110" workbookViewId="0">
      <selection activeCell="B1" sqref="B1:I1"/>
    </sheetView>
  </sheetViews>
  <sheetFormatPr defaultColWidth="9.140625" defaultRowHeight="15.75" outlineLevelRow="1"/>
  <cols>
    <col min="1" max="1" width="2.85546875" style="1" customWidth="1"/>
    <col min="2" max="2" width="56.85546875" style="1" customWidth="1"/>
    <col min="3" max="3" width="12.7109375" style="29" customWidth="1"/>
    <col min="4" max="4" width="8.42578125" style="2" customWidth="1"/>
    <col min="5" max="5" width="10.7109375" style="2" customWidth="1"/>
    <col min="6" max="6" width="10.28515625" style="2" customWidth="1"/>
    <col min="7" max="7" width="10" style="1" customWidth="1"/>
    <col min="8" max="8" width="10.28515625" style="1" customWidth="1"/>
    <col min="9" max="9" width="11.140625" style="1" customWidth="1"/>
    <col min="10" max="10" width="12.28515625" style="1" customWidth="1"/>
    <col min="11" max="13" width="9.140625" style="1"/>
    <col min="14" max="14" width="12.42578125" style="232" customWidth="1"/>
    <col min="15" max="15" width="11.28515625" style="232" customWidth="1"/>
    <col min="16" max="16" width="13" style="232" customWidth="1"/>
    <col min="17" max="17" width="15.85546875" style="232" customWidth="1"/>
    <col min="18" max="18" width="9.140625" style="232"/>
    <col min="19" max="16384" width="9.140625" style="1"/>
  </cols>
  <sheetData>
    <row r="1" spans="1:18">
      <c r="B1" s="137"/>
      <c r="C1" s="137"/>
      <c r="D1" s="137"/>
      <c r="E1" s="137"/>
      <c r="F1" s="137"/>
      <c r="G1" s="137"/>
      <c r="H1" s="137"/>
      <c r="I1" s="137"/>
    </row>
    <row r="2" spans="1:18" ht="19.5" customHeight="1">
      <c r="A2" s="18"/>
      <c r="B2" s="186" t="s">
        <v>161</v>
      </c>
      <c r="C2" s="186"/>
      <c r="D2" s="186"/>
      <c r="E2" s="186"/>
      <c r="F2" s="186"/>
      <c r="G2" s="186"/>
      <c r="H2" s="186"/>
      <c r="I2" s="186"/>
    </row>
    <row r="3" spans="1:18" ht="20.25" customHeight="1">
      <c r="A3" s="18"/>
      <c r="B3" s="186"/>
      <c r="C3" s="186"/>
      <c r="D3" s="186"/>
      <c r="E3" s="186"/>
      <c r="F3" s="186"/>
      <c r="G3" s="186"/>
      <c r="H3" s="186"/>
      <c r="I3" s="186"/>
    </row>
    <row r="4" spans="1:18" ht="13.5" customHeight="1">
      <c r="B4" s="174"/>
    </row>
    <row r="5" spans="1:18">
      <c r="B5" s="1" t="s">
        <v>0</v>
      </c>
      <c r="D5" s="200" t="s">
        <v>70</v>
      </c>
      <c r="E5" s="200"/>
      <c r="F5" s="200"/>
    </row>
    <row r="6" spans="1:18">
      <c r="B6" s="1" t="s">
        <v>1</v>
      </c>
      <c r="D6" s="14">
        <v>1956</v>
      </c>
      <c r="E6" s="14"/>
      <c r="F6" s="14"/>
    </row>
    <row r="7" spans="1:18" hidden="1" outlineLevel="1">
      <c r="B7" s="1" t="s">
        <v>2</v>
      </c>
      <c r="D7" s="14">
        <v>2</v>
      </c>
      <c r="E7" s="14"/>
      <c r="F7" s="14"/>
    </row>
    <row r="8" spans="1:18" hidden="1" outlineLevel="1">
      <c r="B8" s="1" t="s">
        <v>3</v>
      </c>
      <c r="D8" s="14">
        <v>13</v>
      </c>
      <c r="E8" s="14"/>
      <c r="F8" s="14"/>
    </row>
    <row r="9" spans="1:18" ht="30.75" hidden="1" customHeight="1" outlineLevel="1">
      <c r="B9" s="4" t="s">
        <v>4</v>
      </c>
      <c r="C9" s="37"/>
      <c r="D9" s="14" t="s">
        <v>71</v>
      </c>
      <c r="E9" s="14"/>
      <c r="F9" s="14"/>
    </row>
    <row r="10" spans="1:18" collapsed="1">
      <c r="B10" s="1" t="s">
        <v>5</v>
      </c>
      <c r="D10" s="19" t="s">
        <v>111</v>
      </c>
      <c r="E10" s="14"/>
      <c r="F10" s="14"/>
      <c r="J10" s="6"/>
    </row>
    <row r="11" spans="1:18" hidden="1" outlineLevel="1">
      <c r="B11" s="1" t="s">
        <v>6</v>
      </c>
      <c r="D11" s="14" t="s">
        <v>7</v>
      </c>
      <c r="E11" s="14"/>
      <c r="F11" s="14"/>
    </row>
    <row r="12" spans="1:18" ht="30.75" hidden="1" customHeight="1" outlineLevel="1">
      <c r="B12" s="4" t="s">
        <v>8</v>
      </c>
      <c r="C12" s="37"/>
      <c r="D12" s="201" t="s">
        <v>72</v>
      </c>
      <c r="E12" s="201"/>
      <c r="F12" s="14"/>
      <c r="J12" s="6"/>
    </row>
    <row r="13" spans="1:18" ht="31.5" customHeight="1" collapsed="1" thickBot="1">
      <c r="B13" s="187" t="s">
        <v>132</v>
      </c>
      <c r="C13" s="187"/>
      <c r="D13" s="187"/>
      <c r="E13" s="187"/>
      <c r="F13" s="187"/>
      <c r="G13" s="187"/>
      <c r="H13" s="187"/>
      <c r="I13" s="187"/>
      <c r="J13" s="124"/>
      <c r="K13" s="124"/>
      <c r="M13" s="6"/>
      <c r="N13" s="233" t="s">
        <v>133</v>
      </c>
      <c r="O13" s="233" t="s">
        <v>134</v>
      </c>
      <c r="P13" s="233" t="s">
        <v>135</v>
      </c>
      <c r="Q13" s="233" t="s">
        <v>136</v>
      </c>
    </row>
    <row r="14" spans="1:18" ht="27.75" customHeight="1">
      <c r="B14" s="188" t="s">
        <v>137</v>
      </c>
      <c r="C14" s="190" t="s">
        <v>138</v>
      </c>
      <c r="D14" s="190" t="s">
        <v>139</v>
      </c>
      <c r="E14" s="192" t="s">
        <v>140</v>
      </c>
      <c r="F14" s="194" t="s">
        <v>141</v>
      </c>
      <c r="G14" s="196" t="s">
        <v>142</v>
      </c>
      <c r="H14" s="197"/>
      <c r="I14" s="198" t="s">
        <v>163</v>
      </c>
      <c r="J14" s="125"/>
      <c r="K14" s="125"/>
      <c r="M14" s="6"/>
      <c r="N14" s="233"/>
      <c r="O14" s="233"/>
      <c r="P14" s="233"/>
      <c r="Q14" s="233"/>
    </row>
    <row r="15" spans="1:18" ht="45" customHeight="1" thickBot="1">
      <c r="B15" s="189"/>
      <c r="C15" s="191"/>
      <c r="D15" s="191"/>
      <c r="E15" s="193"/>
      <c r="F15" s="195"/>
      <c r="G15" s="48" t="s">
        <v>121</v>
      </c>
      <c r="H15" s="49" t="s">
        <v>122</v>
      </c>
      <c r="I15" s="199"/>
      <c r="J15" s="125"/>
      <c r="K15" s="125"/>
      <c r="N15" s="234">
        <v>30839.48</v>
      </c>
      <c r="O15" s="234">
        <v>34597.660000000003</v>
      </c>
      <c r="P15" s="234">
        <v>30660.26</v>
      </c>
      <c r="Q15" s="234">
        <v>34284.879999999997</v>
      </c>
      <c r="R15" s="232">
        <f>(N15+O15)/(P15+Q15)*100</f>
        <v>100.757562459639</v>
      </c>
    </row>
    <row r="16" spans="1:18" ht="50.25" customHeight="1">
      <c r="B16" s="110" t="s">
        <v>143</v>
      </c>
      <c r="C16" s="51" t="s">
        <v>144</v>
      </c>
      <c r="D16" s="52" t="s">
        <v>145</v>
      </c>
      <c r="E16" s="53">
        <v>1.01</v>
      </c>
      <c r="F16" s="54">
        <v>1.05</v>
      </c>
      <c r="G16" s="55">
        <f>($N$15/$N$16*E16)+($O$15/$O$16*F16)</f>
        <v>7744.4434655537898</v>
      </c>
      <c r="H16" s="56">
        <f>($P$15/$P$16*E16)+($Q$15/$Q$16*F16)</f>
        <v>7686.7558411499731</v>
      </c>
      <c r="I16" s="57">
        <f>H16-G16</f>
        <v>-57.687624403816699</v>
      </c>
      <c r="J16" s="126"/>
      <c r="K16" s="126"/>
      <c r="L16" s="7"/>
      <c r="M16" s="58"/>
      <c r="N16" s="235">
        <v>8.16</v>
      </c>
      <c r="O16" s="234">
        <v>9.25</v>
      </c>
      <c r="P16" s="235">
        <v>8.16</v>
      </c>
      <c r="Q16" s="234">
        <v>9.25</v>
      </c>
    </row>
    <row r="17" spans="2:17" ht="51">
      <c r="B17" s="127" t="s">
        <v>129</v>
      </c>
      <c r="C17" s="51" t="s">
        <v>144</v>
      </c>
      <c r="D17" s="52" t="s">
        <v>145</v>
      </c>
      <c r="E17" s="41">
        <v>1.1299999999999999</v>
      </c>
      <c r="F17" s="168">
        <v>1.17</v>
      </c>
      <c r="G17" s="55">
        <f t="shared" ref="G17:G27" si="0">($N$15/$N$16*E17)+($O$15/$O$16*F17)</f>
        <v>8646.7997383677794</v>
      </c>
      <c r="H17" s="56">
        <f t="shared" ref="H17:H21" si="1">($P$15/$P$16*E17)+($Q$15/$Q$16*F17)</f>
        <v>8582.418839242182</v>
      </c>
      <c r="I17" s="57">
        <f t="shared" ref="I17:I27" si="2">H17-G17</f>
        <v>-64.380899125597352</v>
      </c>
      <c r="J17" s="126"/>
      <c r="K17" s="126"/>
      <c r="L17" s="8"/>
      <c r="M17" s="8"/>
      <c r="N17" s="236"/>
      <c r="O17" s="237"/>
      <c r="P17" s="237"/>
      <c r="Q17" s="237"/>
    </row>
    <row r="18" spans="2:17" ht="52.5" customHeight="1">
      <c r="B18" s="62" t="s">
        <v>123</v>
      </c>
      <c r="C18" s="51" t="s">
        <v>144</v>
      </c>
      <c r="D18" s="52" t="s">
        <v>145</v>
      </c>
      <c r="E18" s="41">
        <v>0.28000000000000003</v>
      </c>
      <c r="F18" s="168">
        <v>0.27</v>
      </c>
      <c r="G18" s="55">
        <f t="shared" si="0"/>
        <v>2068.0950942236354</v>
      </c>
      <c r="H18" s="56">
        <f t="shared" si="1"/>
        <v>2052.8155937466881</v>
      </c>
      <c r="I18" s="57">
        <f t="shared" si="2"/>
        <v>-15.279500476947305</v>
      </c>
      <c r="J18" s="126"/>
      <c r="K18" s="126"/>
      <c r="M18" s="6"/>
      <c r="N18" s="234"/>
      <c r="O18" s="234"/>
      <c r="P18" s="234"/>
      <c r="Q18" s="234"/>
    </row>
    <row r="19" spans="2:17" ht="25.5">
      <c r="B19" s="62" t="s">
        <v>146</v>
      </c>
      <c r="C19" s="59" t="s">
        <v>147</v>
      </c>
      <c r="D19" s="52" t="s">
        <v>145</v>
      </c>
      <c r="E19" s="41">
        <v>0</v>
      </c>
      <c r="F19" s="168">
        <v>0</v>
      </c>
      <c r="G19" s="55">
        <f t="shared" si="0"/>
        <v>0</v>
      </c>
      <c r="H19" s="56">
        <f t="shared" si="1"/>
        <v>0</v>
      </c>
      <c r="I19" s="57">
        <f t="shared" si="2"/>
        <v>0</v>
      </c>
      <c r="J19" s="126"/>
      <c r="K19" s="126"/>
      <c r="M19" s="6"/>
      <c r="N19" s="234"/>
      <c r="O19" s="234"/>
      <c r="P19" s="234"/>
      <c r="Q19" s="234"/>
    </row>
    <row r="20" spans="2:17" ht="51">
      <c r="B20" s="127" t="s">
        <v>124</v>
      </c>
      <c r="C20" s="51" t="s">
        <v>144</v>
      </c>
      <c r="D20" s="52" t="s">
        <v>145</v>
      </c>
      <c r="E20" s="41">
        <v>1.1399999999999999</v>
      </c>
      <c r="F20" s="168">
        <v>1.33</v>
      </c>
      <c r="G20" s="55">
        <f t="shared" si="0"/>
        <v>9283.0392295707461</v>
      </c>
      <c r="H20" s="56">
        <f t="shared" si="1"/>
        <v>9213.02844944356</v>
      </c>
      <c r="I20" s="57">
        <f t="shared" si="2"/>
        <v>-70.010780127186081</v>
      </c>
      <c r="J20" s="126"/>
      <c r="K20" s="126"/>
      <c r="N20" s="234"/>
      <c r="O20" s="234"/>
      <c r="P20" s="234"/>
      <c r="Q20" s="234"/>
    </row>
    <row r="21" spans="2:17" ht="145.5" customHeight="1">
      <c r="B21" s="127" t="s">
        <v>125</v>
      </c>
      <c r="C21" s="51" t="s">
        <v>148</v>
      </c>
      <c r="D21" s="52" t="s">
        <v>145</v>
      </c>
      <c r="E21" s="41">
        <v>3.41</v>
      </c>
      <c r="F21" s="168">
        <v>2.87</v>
      </c>
      <c r="G21" s="55">
        <f t="shared" si="0"/>
        <v>23622.202132644408</v>
      </c>
      <c r="H21" s="56">
        <f t="shared" si="1"/>
        <v>23450.261165156331</v>
      </c>
      <c r="I21" s="57">
        <f t="shared" si="2"/>
        <v>-171.94096748807715</v>
      </c>
      <c r="J21" s="126"/>
      <c r="K21" s="126"/>
      <c r="L21" s="8"/>
      <c r="M21" s="60"/>
      <c r="N21" s="237"/>
      <c r="O21" s="237"/>
      <c r="P21" s="237"/>
      <c r="Q21" s="237"/>
    </row>
    <row r="22" spans="2:17" ht="27.75" customHeight="1">
      <c r="B22" s="62" t="s">
        <v>149</v>
      </c>
      <c r="C22" s="51" t="s">
        <v>147</v>
      </c>
      <c r="D22" s="52" t="s">
        <v>145</v>
      </c>
      <c r="E22" s="41">
        <v>1.94</v>
      </c>
      <c r="F22" s="168">
        <v>2</v>
      </c>
      <c r="G22" s="55">
        <v>13929.48</v>
      </c>
      <c r="H22" s="40">
        <v>14169.97</v>
      </c>
      <c r="I22" s="57">
        <f t="shared" si="2"/>
        <v>240.48999999999978</v>
      </c>
      <c r="J22" s="126"/>
      <c r="K22" s="126"/>
      <c r="N22" s="234"/>
      <c r="O22" s="234"/>
      <c r="P22" s="234"/>
      <c r="Q22" s="234"/>
    </row>
    <row r="23" spans="2:17" ht="108.75" customHeight="1">
      <c r="B23" s="127" t="s">
        <v>150</v>
      </c>
      <c r="C23" s="51" t="s">
        <v>144</v>
      </c>
      <c r="D23" s="52" t="s">
        <v>145</v>
      </c>
      <c r="E23" s="41">
        <v>0.22</v>
      </c>
      <c r="F23" s="168">
        <v>0.21</v>
      </c>
      <c r="G23" s="55">
        <f t="shared" si="0"/>
        <v>1616.9169578166402</v>
      </c>
      <c r="H23" s="56">
        <f t="shared" ref="H23" si="3">($P$15/$P$16*E23)+($Q$15/$Q$16*F23)</f>
        <v>1604.9840947005828</v>
      </c>
      <c r="I23" s="57">
        <f t="shared" si="2"/>
        <v>-11.932863116057433</v>
      </c>
      <c r="J23" s="126"/>
      <c r="K23" s="126"/>
      <c r="N23" s="234"/>
      <c r="O23" s="234"/>
      <c r="P23" s="234"/>
      <c r="Q23" s="234"/>
    </row>
    <row r="24" spans="2:17" ht="48">
      <c r="B24" s="62" t="s">
        <v>151</v>
      </c>
      <c r="C24" s="51" t="s">
        <v>144</v>
      </c>
      <c r="D24" s="52" t="s">
        <v>145</v>
      </c>
      <c r="E24" s="41">
        <v>4.33</v>
      </c>
      <c r="F24" s="168">
        <v>4.33</v>
      </c>
      <c r="G24" s="55">
        <v>32729.15</v>
      </c>
      <c r="H24" s="128">
        <v>27264</v>
      </c>
      <c r="I24" s="57">
        <f t="shared" si="2"/>
        <v>-5465.1500000000015</v>
      </c>
      <c r="J24" s="126"/>
      <c r="K24" s="126"/>
      <c r="M24" s="6"/>
      <c r="N24" s="234"/>
      <c r="O24" s="234"/>
      <c r="P24" s="234"/>
      <c r="Q24" s="234"/>
    </row>
    <row r="25" spans="2:17" ht="67.5" customHeight="1">
      <c r="B25" s="127" t="s">
        <v>152</v>
      </c>
      <c r="C25" s="59" t="s">
        <v>148</v>
      </c>
      <c r="D25" s="52" t="s">
        <v>145</v>
      </c>
      <c r="E25" s="41">
        <v>0.71</v>
      </c>
      <c r="F25" s="168">
        <v>1.44</v>
      </c>
      <c r="G25" s="55">
        <f t="shared" si="0"/>
        <v>8069.3512051404341</v>
      </c>
      <c r="H25" s="56">
        <f>($P$15/$P$16*E25)+($Q$15/$Q$16*F25)</f>
        <v>8005.0650702437724</v>
      </c>
      <c r="I25" s="57">
        <f t="shared" si="2"/>
        <v>-64.286134896661679</v>
      </c>
      <c r="J25" s="126"/>
      <c r="K25" s="126"/>
      <c r="L25" s="172"/>
      <c r="M25" s="6"/>
      <c r="N25" s="234"/>
      <c r="O25" s="234"/>
      <c r="P25" s="234"/>
      <c r="Q25" s="234"/>
    </row>
    <row r="26" spans="2:17" ht="63.75">
      <c r="B26" s="127" t="s">
        <v>126</v>
      </c>
      <c r="C26" s="59" t="s">
        <v>148</v>
      </c>
      <c r="D26" s="52" t="s">
        <v>145</v>
      </c>
      <c r="E26" s="41">
        <v>0.25</v>
      </c>
      <c r="F26" s="168">
        <v>0.83</v>
      </c>
      <c r="G26" s="55">
        <f t="shared" si="0"/>
        <v>4049.2756908850024</v>
      </c>
      <c r="H26" s="56">
        <f t="shared" ref="H26:H27" si="4">($P$15/$P$16*E26)+($Q$15/$Q$16*F26)</f>
        <v>4015.719217196608</v>
      </c>
      <c r="I26" s="57">
        <f t="shared" si="2"/>
        <v>-33.556473688394362</v>
      </c>
      <c r="J26" s="126"/>
      <c r="K26" s="126"/>
      <c r="L26" s="64"/>
      <c r="M26" s="6"/>
      <c r="N26" s="238"/>
      <c r="O26" s="238"/>
      <c r="P26" s="234"/>
      <c r="Q26" s="234"/>
    </row>
    <row r="27" spans="2:17">
      <c r="B27" s="62" t="s">
        <v>127</v>
      </c>
      <c r="C27" s="129" t="s">
        <v>148</v>
      </c>
      <c r="D27" s="52" t="s">
        <v>145</v>
      </c>
      <c r="E27" s="41">
        <v>0.01</v>
      </c>
      <c r="F27" s="168">
        <v>0.08</v>
      </c>
      <c r="G27" s="55">
        <f t="shared" si="0"/>
        <v>337.01648579756232</v>
      </c>
      <c r="H27" s="56">
        <f t="shared" si="4"/>
        <v>334.0917291202968</v>
      </c>
      <c r="I27" s="57">
        <f t="shared" si="2"/>
        <v>-2.9247566772655205</v>
      </c>
      <c r="J27" s="126"/>
      <c r="K27" s="126"/>
      <c r="N27" s="234"/>
      <c r="O27" s="234"/>
      <c r="P27" s="234"/>
      <c r="Q27" s="234"/>
    </row>
    <row r="28" spans="2:17" ht="16.5" thickBot="1">
      <c r="B28" s="33" t="s">
        <v>128</v>
      </c>
      <c r="C28" s="130"/>
      <c r="D28" s="130"/>
      <c r="E28" s="34">
        <f>SUM(E16:E27)</f>
        <v>14.430000000000001</v>
      </c>
      <c r="F28" s="131">
        <f>SUM(F16:F27)</f>
        <v>15.58</v>
      </c>
      <c r="G28" s="132">
        <f>SUM(G16:G27)</f>
        <v>112095.76999999999</v>
      </c>
      <c r="H28" s="133">
        <f>SUM(H16:H27)</f>
        <v>106379.10999999999</v>
      </c>
      <c r="I28" s="134">
        <f>H28-G28</f>
        <v>-5716.6600000000035</v>
      </c>
      <c r="J28" s="135"/>
      <c r="K28" s="135"/>
      <c r="N28" s="234"/>
      <c r="O28" s="234"/>
      <c r="P28" s="234"/>
      <c r="Q28" s="234"/>
    </row>
    <row r="29" spans="2:17">
      <c r="B29" s="6"/>
      <c r="C29" s="6"/>
      <c r="D29" s="6"/>
      <c r="E29" s="29"/>
      <c r="F29" s="29"/>
      <c r="G29" s="29"/>
      <c r="H29" s="29"/>
      <c r="I29" s="2"/>
      <c r="J29" s="2"/>
      <c r="K29" s="2"/>
      <c r="N29" s="234"/>
      <c r="O29" s="234"/>
      <c r="P29" s="234"/>
      <c r="Q29" s="234"/>
    </row>
    <row r="30" spans="2:17" ht="16.5" thickBot="1">
      <c r="B30" s="207" t="s">
        <v>153</v>
      </c>
      <c r="C30" s="207"/>
      <c r="D30" s="207"/>
      <c r="E30" s="207"/>
      <c r="F30" s="207"/>
      <c r="G30" s="207"/>
      <c r="H30" s="207"/>
      <c r="I30" s="207"/>
      <c r="J30" s="167"/>
      <c r="K30" s="167"/>
      <c r="N30" s="234"/>
      <c r="O30" s="234"/>
      <c r="P30" s="234"/>
      <c r="Q30" s="234"/>
    </row>
    <row r="31" spans="2:17" ht="44.25" customHeight="1">
      <c r="B31" s="20"/>
      <c r="C31" s="65"/>
      <c r="D31" s="208" t="s">
        <v>154</v>
      </c>
      <c r="E31" s="209"/>
      <c r="F31" s="210" t="s">
        <v>10</v>
      </c>
      <c r="G31" s="211"/>
      <c r="H31" s="210" t="s">
        <v>11</v>
      </c>
      <c r="I31" s="212"/>
      <c r="J31" s="172"/>
      <c r="K31" s="172"/>
      <c r="L31" s="24"/>
      <c r="M31" s="9"/>
      <c r="N31" s="238"/>
      <c r="O31" s="238"/>
      <c r="P31" s="238"/>
      <c r="Q31" s="238"/>
    </row>
    <row r="32" spans="2:17">
      <c r="B32" s="21" t="s">
        <v>12</v>
      </c>
      <c r="C32" s="67"/>
      <c r="D32" s="203">
        <f>F32+H32</f>
        <v>112095.76999999999</v>
      </c>
      <c r="E32" s="204"/>
      <c r="F32" s="203">
        <f>30839.48+34597.66+13929.48</f>
        <v>79366.62</v>
      </c>
      <c r="G32" s="204"/>
      <c r="H32" s="203">
        <f>G24</f>
        <v>32729.15</v>
      </c>
      <c r="I32" s="213"/>
      <c r="J32" s="173"/>
      <c r="K32" s="173"/>
      <c r="L32" s="10"/>
      <c r="M32" s="10"/>
      <c r="N32" s="234"/>
      <c r="O32" s="234"/>
      <c r="P32" s="234"/>
      <c r="Q32" s="234"/>
    </row>
    <row r="33" spans="2:17">
      <c r="B33" s="21" t="s">
        <v>13</v>
      </c>
      <c r="C33" s="67"/>
      <c r="D33" s="203">
        <f>F33+H33</f>
        <v>87015.55</v>
      </c>
      <c r="E33" s="204"/>
      <c r="F33" s="203">
        <f>23834.8+26739.38+11146.1</f>
        <v>61720.28</v>
      </c>
      <c r="G33" s="204"/>
      <c r="H33" s="203">
        <v>25295.27</v>
      </c>
      <c r="I33" s="213"/>
      <c r="J33" s="173"/>
      <c r="K33" s="173"/>
      <c r="L33" s="25"/>
      <c r="M33" s="10"/>
      <c r="N33" s="234"/>
      <c r="O33" s="234"/>
      <c r="P33" s="234"/>
      <c r="Q33" s="234"/>
    </row>
    <row r="34" spans="2:17" ht="16.5" thickBot="1">
      <c r="B34" s="22" t="s">
        <v>114</v>
      </c>
      <c r="C34" s="69"/>
      <c r="D34" s="205">
        <f>F34+H34</f>
        <v>106379.10999999999</v>
      </c>
      <c r="E34" s="206"/>
      <c r="F34" s="205">
        <f>H16+H17+H18+H19+H20+H21+H22+H23+H25+H26+H27</f>
        <v>79115.109999999986</v>
      </c>
      <c r="G34" s="206"/>
      <c r="H34" s="205">
        <f>H24</f>
        <v>27264</v>
      </c>
      <c r="I34" s="214"/>
      <c r="J34" s="173"/>
      <c r="K34" s="173"/>
      <c r="L34" s="10"/>
      <c r="M34" s="10"/>
      <c r="N34" s="234"/>
      <c r="O34" s="234"/>
      <c r="P34" s="234"/>
      <c r="Q34" s="234"/>
    </row>
    <row r="35" spans="2:17" ht="27" thickBot="1">
      <c r="B35" s="23" t="s">
        <v>115</v>
      </c>
      <c r="C35" s="72"/>
      <c r="D35" s="184">
        <f>F35+H35</f>
        <v>-19363.559999999987</v>
      </c>
      <c r="E35" s="185"/>
      <c r="F35" s="182">
        <f>F33-F34</f>
        <v>-17394.829999999987</v>
      </c>
      <c r="G35" s="183"/>
      <c r="H35" s="182">
        <f>H33-H34</f>
        <v>-1968.7299999999996</v>
      </c>
      <c r="I35" s="202"/>
      <c r="J35" s="173"/>
      <c r="K35" s="173"/>
      <c r="L35" s="10"/>
      <c r="M35" s="10"/>
      <c r="N35" s="234"/>
      <c r="O35" s="234"/>
      <c r="P35" s="234"/>
      <c r="Q35" s="234"/>
    </row>
    <row r="36" spans="2:17" ht="34.5" customHeight="1">
      <c r="B36" s="164" t="s">
        <v>116</v>
      </c>
      <c r="C36" s="164"/>
      <c r="D36" s="136"/>
      <c r="E36" s="180" t="s">
        <v>117</v>
      </c>
      <c r="F36" s="180"/>
      <c r="G36" s="178" t="s">
        <v>14</v>
      </c>
      <c r="H36" s="178"/>
      <c r="I36" s="164"/>
      <c r="J36" s="164"/>
      <c r="K36" s="164"/>
      <c r="L36" s="8"/>
      <c r="M36" s="8"/>
      <c r="N36" s="237"/>
      <c r="O36" s="237"/>
      <c r="P36" s="237"/>
      <c r="Q36" s="237"/>
    </row>
    <row r="37" spans="2:17" ht="11.25" customHeight="1">
      <c r="B37" s="164"/>
      <c r="C37" s="164"/>
      <c r="D37" s="164"/>
      <c r="E37" s="179" t="s">
        <v>15</v>
      </c>
      <c r="F37" s="179"/>
      <c r="G37" s="181"/>
      <c r="H37" s="181"/>
      <c r="I37" s="165"/>
      <c r="J37" s="165"/>
      <c r="K37" s="165"/>
      <c r="L37" s="8"/>
      <c r="M37" s="8"/>
      <c r="N37" s="237"/>
      <c r="O37" s="237"/>
      <c r="P37" s="237"/>
      <c r="Q37" s="237"/>
    </row>
    <row r="38" spans="2:17">
      <c r="B38" s="164" t="s">
        <v>118</v>
      </c>
      <c r="C38" s="164"/>
      <c r="D38" s="164"/>
      <c r="E38" s="177" t="s">
        <v>117</v>
      </c>
      <c r="F38" s="177"/>
      <c r="G38" s="178" t="s">
        <v>131</v>
      </c>
      <c r="H38" s="178"/>
      <c r="I38" s="164"/>
      <c r="J38" s="164"/>
      <c r="K38" s="164"/>
      <c r="L38" s="8"/>
      <c r="M38" s="8"/>
      <c r="N38" s="237"/>
      <c r="O38" s="237"/>
      <c r="P38" s="237"/>
      <c r="Q38" s="237"/>
    </row>
    <row r="39" spans="2:17" ht="9.75" customHeight="1">
      <c r="B39" s="164"/>
      <c r="C39" s="164"/>
      <c r="D39" s="164"/>
      <c r="E39" s="179" t="s">
        <v>15</v>
      </c>
      <c r="F39" s="179"/>
      <c r="G39" s="178"/>
      <c r="H39" s="178"/>
      <c r="I39" s="164"/>
      <c r="J39" s="164"/>
      <c r="K39" s="164"/>
      <c r="N39" s="234"/>
      <c r="O39" s="234"/>
      <c r="P39" s="234"/>
      <c r="Q39" s="234"/>
    </row>
    <row r="40" spans="2:17">
      <c r="B40" s="164" t="s">
        <v>119</v>
      </c>
      <c r="C40" s="164"/>
      <c r="D40" s="164"/>
      <c r="E40" s="177" t="s">
        <v>117</v>
      </c>
      <c r="F40" s="177"/>
      <c r="G40" s="178" t="s">
        <v>157</v>
      </c>
      <c r="H40" s="178"/>
      <c r="I40" s="164"/>
      <c r="J40" s="164"/>
      <c r="K40" s="164"/>
      <c r="N40" s="234"/>
      <c r="O40" s="234"/>
      <c r="P40" s="234"/>
      <c r="Q40" s="234"/>
    </row>
    <row r="41" spans="2:17" ht="8.25" customHeight="1">
      <c r="B41" s="27"/>
      <c r="C41" s="27"/>
      <c r="D41" s="27"/>
      <c r="E41" s="179" t="s">
        <v>15</v>
      </c>
      <c r="F41" s="179"/>
      <c r="G41" s="169"/>
      <c r="H41" s="137"/>
      <c r="I41" s="170"/>
      <c r="J41" s="170"/>
      <c r="K41" s="170"/>
      <c r="N41" s="234"/>
      <c r="O41" s="234"/>
      <c r="P41" s="234"/>
      <c r="Q41" s="234"/>
    </row>
    <row r="42" spans="2:17">
      <c r="B42" s="164" t="s">
        <v>120</v>
      </c>
      <c r="C42" s="164"/>
      <c r="D42" s="164"/>
      <c r="E42" s="177" t="s">
        <v>117</v>
      </c>
      <c r="F42" s="177"/>
      <c r="G42" s="178" t="s">
        <v>93</v>
      </c>
      <c r="H42" s="178"/>
    </row>
    <row r="43" spans="2:17" ht="9" customHeight="1">
      <c r="B43" s="138"/>
      <c r="C43" s="138"/>
      <c r="D43" s="138"/>
      <c r="E43" s="179" t="s">
        <v>15</v>
      </c>
      <c r="F43" s="179"/>
      <c r="G43" s="179"/>
      <c r="H43" s="179"/>
    </row>
    <row r="44" spans="2:17">
      <c r="C44" s="38"/>
    </row>
    <row r="45" spans="2:17">
      <c r="C45" s="38"/>
    </row>
    <row r="46" spans="2:17">
      <c r="C46" s="38"/>
    </row>
    <row r="47" spans="2:17">
      <c r="C47" s="38"/>
    </row>
    <row r="48" spans="2:17">
      <c r="C48" s="38"/>
    </row>
    <row r="49" spans="3:3">
      <c r="C49" s="38"/>
    </row>
    <row r="50" spans="3:3">
      <c r="C50" s="38"/>
    </row>
    <row r="51" spans="3:3">
      <c r="C51" s="38"/>
    </row>
    <row r="52" spans="3:3">
      <c r="C52" s="38"/>
    </row>
    <row r="53" spans="3:3">
      <c r="C53" s="38"/>
    </row>
  </sheetData>
  <mergeCells count="42">
    <mergeCell ref="D35:E35"/>
    <mergeCell ref="F35:G35"/>
    <mergeCell ref="H35:I35"/>
    <mergeCell ref="E36:F36"/>
    <mergeCell ref="D33:E33"/>
    <mergeCell ref="F33:G33"/>
    <mergeCell ref="H33:I33"/>
    <mergeCell ref="D34:E34"/>
    <mergeCell ref="D5:F5"/>
    <mergeCell ref="D12:E12"/>
    <mergeCell ref="F34:G34"/>
    <mergeCell ref="H34:I34"/>
    <mergeCell ref="B30:I30"/>
    <mergeCell ref="D31:E31"/>
    <mergeCell ref="F31:G31"/>
    <mergeCell ref="H31:I31"/>
    <mergeCell ref="D32:E32"/>
    <mergeCell ref="F32:G32"/>
    <mergeCell ref="H32:I32"/>
    <mergeCell ref="B2:I3"/>
    <mergeCell ref="B13:I13"/>
    <mergeCell ref="B14:B15"/>
    <mergeCell ref="C14:C15"/>
    <mergeCell ref="D14:D15"/>
    <mergeCell ref="E14:E15"/>
    <mergeCell ref="F14:F15"/>
    <mergeCell ref="G14:H14"/>
    <mergeCell ref="I14:I15"/>
    <mergeCell ref="G36:H36"/>
    <mergeCell ref="E37:F37"/>
    <mergeCell ref="G37:H37"/>
    <mergeCell ref="E38:F38"/>
    <mergeCell ref="G38:H38"/>
    <mergeCell ref="E42:F42"/>
    <mergeCell ref="G42:H42"/>
    <mergeCell ref="E43:F43"/>
    <mergeCell ref="G43:H43"/>
    <mergeCell ref="E39:F39"/>
    <mergeCell ref="G39:H39"/>
    <mergeCell ref="E40:F40"/>
    <mergeCell ref="G40:H40"/>
    <mergeCell ref="E41:F41"/>
  </mergeCells>
  <printOptions horizontalCentered="1"/>
  <pageMargins left="0.19685039370078741" right="0.19685039370078741" top="0.54" bottom="0.23622047244094491" header="0.31496062992125984" footer="0.31496062992125984"/>
  <pageSetup paperSize="9" scale="42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49"/>
  <sheetViews>
    <sheetView zoomScale="110" zoomScaleNormal="110" workbookViewId="0">
      <selection activeCell="B1" sqref="B1:I1"/>
    </sheetView>
  </sheetViews>
  <sheetFormatPr defaultColWidth="9.140625" defaultRowHeight="15.75" outlineLevelRow="1"/>
  <cols>
    <col min="1" max="1" width="2.85546875" style="1" customWidth="1"/>
    <col min="2" max="2" width="55.85546875" style="1" customWidth="1"/>
    <col min="3" max="3" width="12" style="29" customWidth="1"/>
    <col min="4" max="4" width="9.140625" style="2" customWidth="1"/>
    <col min="5" max="5" width="11.28515625" style="2" customWidth="1"/>
    <col min="6" max="6" width="10.28515625" style="2" customWidth="1"/>
    <col min="7" max="7" width="10" style="1" customWidth="1"/>
    <col min="8" max="8" width="10.28515625" style="1" customWidth="1"/>
    <col min="9" max="9" width="10.7109375" style="1" customWidth="1"/>
    <col min="10" max="10" width="12.28515625" style="1" customWidth="1"/>
    <col min="11" max="13" width="9.140625" style="1"/>
    <col min="14" max="14" width="12.28515625" style="232" customWidth="1"/>
    <col min="15" max="15" width="12.7109375" style="232" customWidth="1"/>
    <col min="16" max="16" width="12.140625" style="232" customWidth="1"/>
    <col min="17" max="17" width="14.140625" style="232" customWidth="1"/>
    <col min="18" max="19" width="9.140625" style="232"/>
    <col min="20" max="16384" width="9.140625" style="1"/>
  </cols>
  <sheetData>
    <row r="1" spans="1:18">
      <c r="B1" s="137"/>
      <c r="C1" s="137"/>
      <c r="D1" s="137"/>
      <c r="E1" s="137"/>
      <c r="F1" s="137"/>
      <c r="G1" s="137"/>
      <c r="H1" s="137"/>
      <c r="I1" s="137"/>
    </row>
    <row r="2" spans="1:18" ht="19.5" customHeight="1">
      <c r="A2" s="18"/>
      <c r="B2" s="186" t="s">
        <v>161</v>
      </c>
      <c r="C2" s="186"/>
      <c r="D2" s="186"/>
      <c r="E2" s="186"/>
      <c r="F2" s="186"/>
      <c r="G2" s="186"/>
      <c r="H2" s="186"/>
      <c r="I2" s="186"/>
    </row>
    <row r="3" spans="1:18" ht="20.25" customHeight="1">
      <c r="A3" s="18"/>
      <c r="B3" s="186"/>
      <c r="C3" s="186"/>
      <c r="D3" s="186"/>
      <c r="E3" s="186"/>
      <c r="F3" s="186"/>
      <c r="G3" s="186"/>
      <c r="H3" s="186"/>
      <c r="I3" s="186"/>
    </row>
    <row r="4" spans="1:18" ht="12.75" customHeight="1"/>
    <row r="5" spans="1:18">
      <c r="B5" s="1" t="s">
        <v>0</v>
      </c>
      <c r="D5" s="200" t="s">
        <v>73</v>
      </c>
      <c r="E5" s="200"/>
      <c r="F5" s="200"/>
    </row>
    <row r="6" spans="1:18">
      <c r="B6" s="1" t="s">
        <v>1</v>
      </c>
      <c r="D6" s="14">
        <v>1957</v>
      </c>
      <c r="E6" s="14"/>
      <c r="F6" s="14"/>
    </row>
    <row r="7" spans="1:18" hidden="1" outlineLevel="1">
      <c r="B7" s="1" t="s">
        <v>2</v>
      </c>
      <c r="D7" s="14">
        <v>2</v>
      </c>
      <c r="E7" s="14"/>
      <c r="F7" s="14"/>
    </row>
    <row r="8" spans="1:18" hidden="1" outlineLevel="1">
      <c r="B8" s="1" t="s">
        <v>3</v>
      </c>
      <c r="D8" s="14">
        <v>12</v>
      </c>
      <c r="E8" s="14"/>
      <c r="F8" s="14"/>
    </row>
    <row r="9" spans="1:18" ht="30.75" hidden="1" customHeight="1" outlineLevel="1">
      <c r="B9" s="4" t="s">
        <v>4</v>
      </c>
      <c r="C9" s="37"/>
      <c r="D9" s="14" t="s">
        <v>74</v>
      </c>
      <c r="E9" s="14"/>
      <c r="F9" s="14"/>
    </row>
    <row r="10" spans="1:18" collapsed="1">
      <c r="B10" s="1" t="s">
        <v>5</v>
      </c>
      <c r="D10" s="19" t="s">
        <v>110</v>
      </c>
      <c r="E10" s="14"/>
      <c r="F10" s="14"/>
      <c r="J10" s="6"/>
    </row>
    <row r="11" spans="1:18" hidden="1" outlineLevel="1">
      <c r="B11" s="1" t="s">
        <v>6</v>
      </c>
      <c r="D11" s="14" t="s">
        <v>7</v>
      </c>
      <c r="E11" s="14"/>
      <c r="F11" s="14"/>
    </row>
    <row r="12" spans="1:18" ht="30.75" hidden="1" customHeight="1" outlineLevel="1">
      <c r="B12" s="4" t="s">
        <v>8</v>
      </c>
      <c r="C12" s="37"/>
      <c r="D12" s="201" t="s">
        <v>75</v>
      </c>
      <c r="E12" s="201"/>
      <c r="F12" s="14"/>
      <c r="J12" s="6"/>
    </row>
    <row r="13" spans="1:18" ht="31.5" customHeight="1" collapsed="1" thickBot="1">
      <c r="B13" s="187" t="s">
        <v>132</v>
      </c>
      <c r="C13" s="187"/>
      <c r="D13" s="187"/>
      <c r="E13" s="187"/>
      <c r="F13" s="187"/>
      <c r="G13" s="187"/>
      <c r="H13" s="187"/>
      <c r="I13" s="187"/>
      <c r="J13" s="124"/>
      <c r="K13" s="124"/>
      <c r="M13" s="6"/>
      <c r="N13" s="233" t="s">
        <v>133</v>
      </c>
      <c r="O13" s="233" t="s">
        <v>134</v>
      </c>
      <c r="P13" s="233" t="s">
        <v>135</v>
      </c>
      <c r="Q13" s="233" t="s">
        <v>136</v>
      </c>
    </row>
    <row r="14" spans="1:18" ht="27.75" customHeight="1">
      <c r="B14" s="188" t="s">
        <v>137</v>
      </c>
      <c r="C14" s="190" t="s">
        <v>138</v>
      </c>
      <c r="D14" s="190" t="s">
        <v>139</v>
      </c>
      <c r="E14" s="192" t="s">
        <v>140</v>
      </c>
      <c r="F14" s="194" t="s">
        <v>141</v>
      </c>
      <c r="G14" s="196" t="s">
        <v>142</v>
      </c>
      <c r="H14" s="197"/>
      <c r="I14" s="198" t="s">
        <v>163</v>
      </c>
      <c r="J14" s="125"/>
      <c r="K14" s="125"/>
      <c r="M14" s="6"/>
      <c r="N14" s="233"/>
      <c r="O14" s="233"/>
      <c r="P14" s="233"/>
      <c r="Q14" s="233"/>
    </row>
    <row r="15" spans="1:18" ht="45" customHeight="1" thickBot="1">
      <c r="B15" s="189"/>
      <c r="C15" s="191"/>
      <c r="D15" s="191"/>
      <c r="E15" s="193"/>
      <c r="F15" s="195"/>
      <c r="G15" s="48" t="s">
        <v>121</v>
      </c>
      <c r="H15" s="49" t="s">
        <v>122</v>
      </c>
      <c r="I15" s="199"/>
      <c r="J15" s="125"/>
      <c r="K15" s="125"/>
      <c r="N15" s="234">
        <v>29938.54</v>
      </c>
      <c r="O15" s="234">
        <v>33586.93</v>
      </c>
      <c r="P15" s="234">
        <v>29691.03</v>
      </c>
      <c r="Q15" s="234">
        <v>33201.06</v>
      </c>
      <c r="R15" s="232">
        <f>(N15+O15)/(P15+Q15)*100</f>
        <v>101.00709008080348</v>
      </c>
    </row>
    <row r="16" spans="1:18" ht="50.25" customHeight="1">
      <c r="B16" s="110" t="s">
        <v>143</v>
      </c>
      <c r="C16" s="51" t="s">
        <v>144</v>
      </c>
      <c r="D16" s="52" t="s">
        <v>145</v>
      </c>
      <c r="E16" s="53">
        <v>1.01</v>
      </c>
      <c r="F16" s="54">
        <v>1.05</v>
      </c>
      <c r="G16" s="55">
        <f>($N$15/$N$16*E16)+($O$15/$O$16*F16)</f>
        <v>7518.1985451775308</v>
      </c>
      <c r="H16" s="56">
        <f>($P$15/$P$16*E16)+($Q$15/$Q$16*F16)</f>
        <v>7443.7616567965024</v>
      </c>
      <c r="I16" s="57">
        <f>H16-G16</f>
        <v>-74.436888381028439</v>
      </c>
      <c r="J16" s="126"/>
      <c r="K16" s="126"/>
      <c r="L16" s="7"/>
      <c r="M16" s="58"/>
      <c r="N16" s="235">
        <v>8.16</v>
      </c>
      <c r="O16" s="234">
        <v>9.25</v>
      </c>
      <c r="P16" s="235">
        <v>8.16</v>
      </c>
      <c r="Q16" s="234">
        <v>9.25</v>
      </c>
    </row>
    <row r="17" spans="2:17" ht="51">
      <c r="B17" s="127" t="s">
        <v>129</v>
      </c>
      <c r="C17" s="51" t="s">
        <v>144</v>
      </c>
      <c r="D17" s="52" t="s">
        <v>145</v>
      </c>
      <c r="E17" s="41">
        <v>1.1299999999999999</v>
      </c>
      <c r="F17" s="168">
        <v>1.17</v>
      </c>
      <c r="G17" s="55">
        <f t="shared" ref="G17:G27" si="0">($N$15/$N$16*E17)+($O$15/$O$16*F17)</f>
        <v>8394.193527371488</v>
      </c>
      <c r="H17" s="56">
        <f t="shared" ref="H17:H21" si="1">($P$15/$P$16*E17)+($Q$15/$Q$16*F17)</f>
        <v>8311.1109049682018</v>
      </c>
      <c r="I17" s="57">
        <f t="shared" ref="I17:I27" si="2">H17-G17</f>
        <v>-83.082622403286223</v>
      </c>
      <c r="J17" s="126"/>
      <c r="K17" s="126"/>
      <c r="L17" s="8"/>
      <c r="M17" s="8"/>
      <c r="N17" s="236"/>
      <c r="O17" s="237"/>
      <c r="P17" s="237"/>
      <c r="Q17" s="237"/>
    </row>
    <row r="18" spans="2:17" ht="52.5" customHeight="1">
      <c r="B18" s="62" t="s">
        <v>123</v>
      </c>
      <c r="C18" s="51" t="s">
        <v>144</v>
      </c>
      <c r="D18" s="52" t="s">
        <v>145</v>
      </c>
      <c r="E18" s="41">
        <v>0.28000000000000003</v>
      </c>
      <c r="F18" s="168">
        <v>0.27</v>
      </c>
      <c r="G18" s="55">
        <f t="shared" si="0"/>
        <v>2007.678097191309</v>
      </c>
      <c r="H18" s="56">
        <f t="shared" si="1"/>
        <v>1987.9218745627982</v>
      </c>
      <c r="I18" s="57">
        <f t="shared" si="2"/>
        <v>-19.756222628510841</v>
      </c>
      <c r="J18" s="126"/>
      <c r="K18" s="126"/>
      <c r="M18" s="6"/>
      <c r="N18" s="234"/>
      <c r="O18" s="234"/>
      <c r="P18" s="234"/>
      <c r="Q18" s="234"/>
    </row>
    <row r="19" spans="2:17" ht="25.5">
      <c r="B19" s="62" t="s">
        <v>146</v>
      </c>
      <c r="C19" s="59" t="s">
        <v>147</v>
      </c>
      <c r="D19" s="52" t="s">
        <v>145</v>
      </c>
      <c r="E19" s="41">
        <v>0</v>
      </c>
      <c r="F19" s="168">
        <v>0</v>
      </c>
      <c r="G19" s="55">
        <f t="shared" si="0"/>
        <v>0</v>
      </c>
      <c r="H19" s="56">
        <f t="shared" si="1"/>
        <v>0</v>
      </c>
      <c r="I19" s="57">
        <f t="shared" si="2"/>
        <v>0</v>
      </c>
      <c r="J19" s="126"/>
      <c r="K19" s="126"/>
      <c r="M19" s="6"/>
      <c r="N19" s="234"/>
      <c r="O19" s="234"/>
      <c r="P19" s="234"/>
      <c r="Q19" s="234"/>
    </row>
    <row r="20" spans="2:17" ht="51">
      <c r="B20" s="127" t="s">
        <v>124</v>
      </c>
      <c r="C20" s="51" t="s">
        <v>144</v>
      </c>
      <c r="D20" s="52" t="s">
        <v>145</v>
      </c>
      <c r="E20" s="41">
        <v>1.1399999999999999</v>
      </c>
      <c r="F20" s="168">
        <v>1.33</v>
      </c>
      <c r="G20" s="55">
        <f t="shared" si="0"/>
        <v>9011.8460281399057</v>
      </c>
      <c r="H20" s="56">
        <f t="shared" si="1"/>
        <v>8921.785576550079</v>
      </c>
      <c r="I20" s="57">
        <f t="shared" si="2"/>
        <v>-90.060451589826698</v>
      </c>
      <c r="J20" s="126"/>
      <c r="K20" s="126"/>
      <c r="N20" s="234"/>
      <c r="O20" s="234"/>
      <c r="P20" s="234"/>
      <c r="Q20" s="234"/>
    </row>
    <row r="21" spans="2:17" ht="145.5" customHeight="1">
      <c r="B21" s="127" t="s">
        <v>125</v>
      </c>
      <c r="C21" s="51" t="s">
        <v>148</v>
      </c>
      <c r="D21" s="52" t="s">
        <v>145</v>
      </c>
      <c r="E21" s="41">
        <f>3.41-0.13</f>
        <v>3.2800000000000002</v>
      </c>
      <c r="F21" s="168">
        <v>2.87</v>
      </c>
      <c r="G21" s="55">
        <f t="shared" si="0"/>
        <v>22455.144868256495</v>
      </c>
      <c r="H21" s="56">
        <f t="shared" si="1"/>
        <v>22235.931565341813</v>
      </c>
      <c r="I21" s="57">
        <f t="shared" si="2"/>
        <v>-219.21330291468257</v>
      </c>
      <c r="J21" s="126"/>
      <c r="K21" s="126"/>
      <c r="L21" s="8"/>
      <c r="M21" s="60"/>
      <c r="N21" s="237"/>
      <c r="O21" s="237"/>
      <c r="P21" s="237"/>
      <c r="Q21" s="237"/>
    </row>
    <row r="22" spans="2:17" ht="27.75" customHeight="1">
      <c r="B22" s="62" t="s">
        <v>149</v>
      </c>
      <c r="C22" s="51" t="s">
        <v>147</v>
      </c>
      <c r="D22" s="52" t="s">
        <v>145</v>
      </c>
      <c r="E22" s="41">
        <v>1.94</v>
      </c>
      <c r="F22" s="168">
        <v>2</v>
      </c>
      <c r="G22" s="55">
        <v>13553.16</v>
      </c>
      <c r="H22" s="40">
        <v>13722.03</v>
      </c>
      <c r="I22" s="57">
        <f t="shared" si="2"/>
        <v>168.8700000000008</v>
      </c>
      <c r="J22" s="126"/>
      <c r="K22" s="126"/>
      <c r="N22" s="234"/>
      <c r="O22" s="234"/>
      <c r="P22" s="234"/>
      <c r="Q22" s="234"/>
    </row>
    <row r="23" spans="2:17" ht="108.75" customHeight="1">
      <c r="B23" s="127" t="s">
        <v>150</v>
      </c>
      <c r="C23" s="51" t="s">
        <v>144</v>
      </c>
      <c r="D23" s="52" t="s">
        <v>145</v>
      </c>
      <c r="E23" s="41">
        <v>0.22</v>
      </c>
      <c r="F23" s="168">
        <v>0.21</v>
      </c>
      <c r="G23" s="55">
        <f t="shared" si="0"/>
        <v>1569.6806060943295</v>
      </c>
      <c r="H23" s="56">
        <f t="shared" ref="H23" si="3">($P$15/$P$16*E23)+($Q$15/$Q$16*F23)</f>
        <v>1554.2472504769476</v>
      </c>
      <c r="I23" s="57">
        <f t="shared" si="2"/>
        <v>-15.433355617381949</v>
      </c>
      <c r="J23" s="126"/>
      <c r="K23" s="126"/>
      <c r="N23" s="234"/>
      <c r="O23" s="234"/>
      <c r="P23" s="234"/>
      <c r="Q23" s="234"/>
    </row>
    <row r="24" spans="2:17" ht="48">
      <c r="B24" s="62" t="s">
        <v>151</v>
      </c>
      <c r="C24" s="51" t="s">
        <v>144</v>
      </c>
      <c r="D24" s="52" t="s">
        <v>145</v>
      </c>
      <c r="E24" s="41">
        <v>4.33</v>
      </c>
      <c r="F24" s="168">
        <v>4.33</v>
      </c>
      <c r="G24" s="55">
        <v>31773.01</v>
      </c>
      <c r="H24" s="128">
        <v>62897</v>
      </c>
      <c r="I24" s="57">
        <f t="shared" si="2"/>
        <v>31123.99</v>
      </c>
      <c r="J24" s="126"/>
      <c r="K24" s="126"/>
      <c r="M24" s="6"/>
      <c r="N24" s="234"/>
      <c r="O24" s="234"/>
      <c r="P24" s="234"/>
      <c r="Q24" s="234"/>
    </row>
    <row r="25" spans="2:17" ht="67.5" customHeight="1">
      <c r="B25" s="127" t="s">
        <v>152</v>
      </c>
      <c r="C25" s="59" t="s">
        <v>148</v>
      </c>
      <c r="D25" s="52" t="s">
        <v>145</v>
      </c>
      <c r="E25" s="41">
        <v>0.71</v>
      </c>
      <c r="F25" s="168">
        <v>1.44</v>
      </c>
      <c r="G25" s="55">
        <f t="shared" si="0"/>
        <v>7833.614516719661</v>
      </c>
      <c r="H25" s="56">
        <f>($P$15/$P$16*E25)+($Q$15/$Q$16*F25)</f>
        <v>7752.0081471780595</v>
      </c>
      <c r="I25" s="57">
        <f t="shared" si="2"/>
        <v>-81.606369541601453</v>
      </c>
      <c r="J25" s="126"/>
      <c r="K25" s="126"/>
      <c r="L25" s="172"/>
      <c r="M25" s="6"/>
      <c r="N25" s="234"/>
      <c r="O25" s="234"/>
      <c r="P25" s="234"/>
      <c r="Q25" s="234"/>
    </row>
    <row r="26" spans="2:17" ht="63.75">
      <c r="B26" s="127" t="s">
        <v>126</v>
      </c>
      <c r="C26" s="59" t="s">
        <v>148</v>
      </c>
      <c r="D26" s="52" t="s">
        <v>145</v>
      </c>
      <c r="E26" s="41">
        <v>0.25</v>
      </c>
      <c r="F26" s="168">
        <v>0.83</v>
      </c>
      <c r="G26" s="55">
        <f t="shared" si="0"/>
        <v>3930.9808327239002</v>
      </c>
      <c r="H26" s="56">
        <f t="shared" ref="H26:H27" si="4">($P$15/$P$16*E26)+($Q$15/$Q$16*F26)</f>
        <v>3888.7737949523053</v>
      </c>
      <c r="I26" s="57">
        <f t="shared" si="2"/>
        <v>-42.207037771594969</v>
      </c>
      <c r="J26" s="126"/>
      <c r="K26" s="126"/>
      <c r="L26" s="64"/>
      <c r="M26" s="6"/>
      <c r="N26" s="238"/>
      <c r="O26" s="238"/>
      <c r="P26" s="234"/>
      <c r="Q26" s="234"/>
    </row>
    <row r="27" spans="2:17">
      <c r="B27" s="62" t="s">
        <v>127</v>
      </c>
      <c r="C27" s="129" t="s">
        <v>148</v>
      </c>
      <c r="D27" s="52" t="s">
        <v>145</v>
      </c>
      <c r="E27" s="41">
        <v>0.14000000000000001</v>
      </c>
      <c r="F27" s="168">
        <v>0.08</v>
      </c>
      <c r="G27" s="55">
        <f t="shared" si="0"/>
        <v>804.13297832538433</v>
      </c>
      <c r="H27" s="56">
        <f t="shared" si="4"/>
        <v>796.549229173291</v>
      </c>
      <c r="I27" s="57">
        <f t="shared" si="2"/>
        <v>-7.5837491520933327</v>
      </c>
      <c r="J27" s="126"/>
      <c r="K27" s="126"/>
      <c r="N27" s="234"/>
      <c r="O27" s="234"/>
      <c r="P27" s="234"/>
      <c r="Q27" s="234"/>
    </row>
    <row r="28" spans="2:17" ht="16.5" thickBot="1">
      <c r="B28" s="33" t="s">
        <v>128</v>
      </c>
      <c r="C28" s="130"/>
      <c r="D28" s="130"/>
      <c r="E28" s="34">
        <f>SUM(E16:E27)</f>
        <v>14.43</v>
      </c>
      <c r="F28" s="131">
        <f>SUM(F16:F27)</f>
        <v>15.58</v>
      </c>
      <c r="G28" s="132">
        <f>SUM(G16:G27)</f>
        <v>108851.64000000001</v>
      </c>
      <c r="H28" s="133">
        <f>SUM(H16:H27)</f>
        <v>139511.12</v>
      </c>
      <c r="I28" s="134">
        <f>H28-G28</f>
        <v>30659.479999999981</v>
      </c>
      <c r="J28" s="135"/>
      <c r="K28" s="135"/>
      <c r="N28" s="234"/>
      <c r="O28" s="234"/>
      <c r="P28" s="234"/>
      <c r="Q28" s="234"/>
    </row>
    <row r="29" spans="2:17">
      <c r="B29" s="6"/>
      <c r="C29" s="6"/>
      <c r="D29" s="6"/>
      <c r="E29" s="29"/>
      <c r="F29" s="29"/>
      <c r="G29" s="29"/>
      <c r="H29" s="29"/>
      <c r="I29" s="2"/>
      <c r="J29" s="2"/>
      <c r="K29" s="2"/>
      <c r="N29" s="234"/>
      <c r="O29" s="234"/>
      <c r="P29" s="234"/>
      <c r="Q29" s="234"/>
    </row>
    <row r="30" spans="2:17" ht="16.5" thickBot="1">
      <c r="B30" s="207" t="s">
        <v>153</v>
      </c>
      <c r="C30" s="207"/>
      <c r="D30" s="207"/>
      <c r="E30" s="207"/>
      <c r="F30" s="207"/>
      <c r="G30" s="207"/>
      <c r="H30" s="207"/>
      <c r="I30" s="207"/>
      <c r="J30" s="167"/>
      <c r="K30" s="167"/>
      <c r="N30" s="234"/>
      <c r="O30" s="234"/>
      <c r="P30" s="234"/>
      <c r="Q30" s="234"/>
    </row>
    <row r="31" spans="2:17" ht="44.25" customHeight="1">
      <c r="B31" s="20"/>
      <c r="C31" s="65"/>
      <c r="D31" s="208" t="s">
        <v>154</v>
      </c>
      <c r="E31" s="209"/>
      <c r="F31" s="210" t="s">
        <v>10</v>
      </c>
      <c r="G31" s="211"/>
      <c r="H31" s="210" t="s">
        <v>11</v>
      </c>
      <c r="I31" s="212"/>
      <c r="J31" s="172"/>
      <c r="K31" s="172"/>
      <c r="L31" s="24"/>
      <c r="M31" s="9"/>
      <c r="N31" s="238"/>
      <c r="O31" s="238"/>
      <c r="P31" s="238"/>
      <c r="Q31" s="238"/>
    </row>
    <row r="32" spans="2:17">
      <c r="B32" s="21" t="s">
        <v>12</v>
      </c>
      <c r="C32" s="67"/>
      <c r="D32" s="203">
        <f>F32+H32</f>
        <v>108851.64</v>
      </c>
      <c r="E32" s="204"/>
      <c r="F32" s="203">
        <f>29938.54+33586.93+13553.16</f>
        <v>77078.63</v>
      </c>
      <c r="G32" s="204"/>
      <c r="H32" s="203">
        <f>G24</f>
        <v>31773.01</v>
      </c>
      <c r="I32" s="213"/>
      <c r="J32" s="173"/>
      <c r="K32" s="173"/>
      <c r="L32" s="10"/>
      <c r="M32" s="10"/>
      <c r="N32" s="234"/>
      <c r="O32" s="234"/>
      <c r="P32" s="234"/>
      <c r="Q32" s="234"/>
    </row>
    <row r="33" spans="2:17">
      <c r="B33" s="21" t="s">
        <v>13</v>
      </c>
      <c r="C33" s="67"/>
      <c r="D33" s="203">
        <f>F33+H33</f>
        <v>86958.02</v>
      </c>
      <c r="E33" s="204"/>
      <c r="F33" s="203">
        <f>23849.33+26755.67+11042.33</f>
        <v>61647.33</v>
      </c>
      <c r="G33" s="204"/>
      <c r="H33" s="203">
        <f>25310.69</f>
        <v>25310.69</v>
      </c>
      <c r="I33" s="213"/>
      <c r="J33" s="173"/>
      <c r="K33" s="173"/>
      <c r="L33" s="25"/>
      <c r="M33" s="10"/>
      <c r="N33" s="234"/>
      <c r="O33" s="234"/>
      <c r="P33" s="234"/>
      <c r="Q33" s="234"/>
    </row>
    <row r="34" spans="2:17" ht="16.5" thickBot="1">
      <c r="B34" s="22" t="s">
        <v>114</v>
      </c>
      <c r="C34" s="69"/>
      <c r="D34" s="205">
        <f>F34+H34</f>
        <v>139511.12</v>
      </c>
      <c r="E34" s="206"/>
      <c r="F34" s="205">
        <f>H16+H17+H18+H19+H20+H21+H22+H23+H25+H26+H27</f>
        <v>76614.12</v>
      </c>
      <c r="G34" s="206"/>
      <c r="H34" s="205">
        <f>H24</f>
        <v>62897</v>
      </c>
      <c r="I34" s="214"/>
      <c r="J34" s="173"/>
      <c r="K34" s="173"/>
      <c r="L34" s="10"/>
      <c r="M34" s="10"/>
      <c r="N34" s="234"/>
      <c r="O34" s="234"/>
      <c r="P34" s="234"/>
      <c r="Q34" s="234"/>
    </row>
    <row r="35" spans="2:17" ht="27" thickBot="1">
      <c r="B35" s="23" t="s">
        <v>115</v>
      </c>
      <c r="C35" s="72"/>
      <c r="D35" s="184">
        <f>F35+H35</f>
        <v>-52553.099999999991</v>
      </c>
      <c r="E35" s="185"/>
      <c r="F35" s="182">
        <f>F33-F34</f>
        <v>-14966.789999999994</v>
      </c>
      <c r="G35" s="183"/>
      <c r="H35" s="182">
        <f>H33-H34</f>
        <v>-37586.31</v>
      </c>
      <c r="I35" s="202"/>
      <c r="J35" s="173"/>
      <c r="K35" s="173"/>
      <c r="L35" s="10"/>
      <c r="M35" s="10"/>
      <c r="N35" s="234"/>
      <c r="O35" s="234"/>
      <c r="P35" s="234"/>
      <c r="Q35" s="234"/>
    </row>
    <row r="36" spans="2:17" ht="34.5" customHeight="1">
      <c r="B36" s="164" t="s">
        <v>116</v>
      </c>
      <c r="C36" s="164"/>
      <c r="D36" s="136"/>
      <c r="E36" s="180" t="s">
        <v>117</v>
      </c>
      <c r="F36" s="180"/>
      <c r="G36" s="178" t="s">
        <v>14</v>
      </c>
      <c r="H36" s="178"/>
      <c r="I36" s="164"/>
      <c r="J36" s="164"/>
      <c r="K36" s="164"/>
      <c r="L36" s="8"/>
      <c r="M36" s="8"/>
      <c r="N36" s="237"/>
      <c r="O36" s="237"/>
      <c r="P36" s="237"/>
      <c r="Q36" s="237"/>
    </row>
    <row r="37" spans="2:17" ht="11.25" customHeight="1">
      <c r="B37" s="164"/>
      <c r="C37" s="164"/>
      <c r="D37" s="164"/>
      <c r="E37" s="179" t="s">
        <v>15</v>
      </c>
      <c r="F37" s="179"/>
      <c r="G37" s="181"/>
      <c r="H37" s="181"/>
      <c r="I37" s="165"/>
      <c r="J37" s="165"/>
      <c r="K37" s="165"/>
      <c r="L37" s="8"/>
      <c r="M37" s="8"/>
      <c r="N37" s="237"/>
      <c r="O37" s="237"/>
      <c r="P37" s="237"/>
      <c r="Q37" s="237"/>
    </row>
    <row r="38" spans="2:17">
      <c r="B38" s="164" t="s">
        <v>118</v>
      </c>
      <c r="C38" s="164"/>
      <c r="D38" s="164"/>
      <c r="E38" s="177" t="s">
        <v>117</v>
      </c>
      <c r="F38" s="177"/>
      <c r="G38" s="178" t="s">
        <v>131</v>
      </c>
      <c r="H38" s="178"/>
      <c r="I38" s="164"/>
      <c r="J38" s="164"/>
      <c r="K38" s="164"/>
      <c r="L38" s="8"/>
      <c r="M38" s="8"/>
      <c r="N38" s="237"/>
      <c r="O38" s="237"/>
      <c r="P38" s="237"/>
      <c r="Q38" s="237"/>
    </row>
    <row r="39" spans="2:17" ht="9.75" customHeight="1">
      <c r="B39" s="164"/>
      <c r="C39" s="164"/>
      <c r="D39" s="164"/>
      <c r="E39" s="179" t="s">
        <v>15</v>
      </c>
      <c r="F39" s="179"/>
      <c r="G39" s="178"/>
      <c r="H39" s="178"/>
      <c r="I39" s="164"/>
      <c r="J39" s="164"/>
      <c r="K39" s="164"/>
      <c r="N39" s="234"/>
      <c r="O39" s="234"/>
      <c r="P39" s="234"/>
      <c r="Q39" s="234"/>
    </row>
    <row r="40" spans="2:17">
      <c r="B40" s="164" t="s">
        <v>119</v>
      </c>
      <c r="C40" s="164"/>
      <c r="D40" s="164"/>
      <c r="E40" s="177" t="s">
        <v>117</v>
      </c>
      <c r="F40" s="177"/>
      <c r="G40" s="178" t="s">
        <v>157</v>
      </c>
      <c r="H40" s="178"/>
      <c r="I40" s="164"/>
      <c r="J40" s="164"/>
      <c r="K40" s="164"/>
      <c r="N40" s="234"/>
      <c r="O40" s="234"/>
      <c r="P40" s="234"/>
      <c r="Q40" s="234"/>
    </row>
    <row r="41" spans="2:17" ht="8.25" customHeight="1">
      <c r="B41" s="27"/>
      <c r="C41" s="27"/>
      <c r="D41" s="27"/>
      <c r="E41" s="179" t="s">
        <v>15</v>
      </c>
      <c r="F41" s="179"/>
      <c r="G41" s="169"/>
      <c r="H41" s="137"/>
      <c r="I41" s="170"/>
      <c r="J41" s="170"/>
      <c r="K41" s="170"/>
      <c r="N41" s="234"/>
      <c r="O41" s="234"/>
      <c r="P41" s="234"/>
      <c r="Q41" s="234"/>
    </row>
    <row r="42" spans="2:17">
      <c r="B42" s="164" t="s">
        <v>120</v>
      </c>
      <c r="C42" s="164"/>
      <c r="D42" s="164"/>
      <c r="E42" s="177" t="s">
        <v>117</v>
      </c>
      <c r="F42" s="177"/>
      <c r="G42" s="178" t="s">
        <v>93</v>
      </c>
      <c r="H42" s="178"/>
    </row>
    <row r="43" spans="2:17" ht="9" customHeight="1">
      <c r="B43" s="138"/>
      <c r="C43" s="138"/>
      <c r="D43" s="138"/>
      <c r="E43" s="179" t="s">
        <v>15</v>
      </c>
      <c r="F43" s="179"/>
      <c r="G43" s="179"/>
      <c r="H43" s="179"/>
    </row>
    <row r="44" spans="2:17">
      <c r="C44" s="38"/>
    </row>
    <row r="45" spans="2:17">
      <c r="C45" s="38"/>
    </row>
    <row r="46" spans="2:17">
      <c r="C46" s="38"/>
    </row>
    <row r="47" spans="2:17">
      <c r="C47" s="38"/>
    </row>
    <row r="48" spans="2:17">
      <c r="C48" s="38"/>
    </row>
    <row r="49" spans="3:3">
      <c r="C49" s="38"/>
    </row>
  </sheetData>
  <mergeCells count="42">
    <mergeCell ref="D35:E35"/>
    <mergeCell ref="F35:G35"/>
    <mergeCell ref="H35:I35"/>
    <mergeCell ref="E36:F36"/>
    <mergeCell ref="D33:E33"/>
    <mergeCell ref="F33:G33"/>
    <mergeCell ref="H33:I33"/>
    <mergeCell ref="D34:E34"/>
    <mergeCell ref="D5:F5"/>
    <mergeCell ref="D12:E12"/>
    <mergeCell ref="F34:G34"/>
    <mergeCell ref="H34:I34"/>
    <mergeCell ref="B30:I30"/>
    <mergeCell ref="D31:E31"/>
    <mergeCell ref="F31:G31"/>
    <mergeCell ref="H31:I31"/>
    <mergeCell ref="D32:E32"/>
    <mergeCell ref="F32:G32"/>
    <mergeCell ref="H32:I32"/>
    <mergeCell ref="B2:I3"/>
    <mergeCell ref="B13:I13"/>
    <mergeCell ref="B14:B15"/>
    <mergeCell ref="C14:C15"/>
    <mergeCell ref="D14:D15"/>
    <mergeCell ref="E14:E15"/>
    <mergeCell ref="F14:F15"/>
    <mergeCell ref="G14:H14"/>
    <mergeCell ref="I14:I15"/>
    <mergeCell ref="G36:H36"/>
    <mergeCell ref="E37:F37"/>
    <mergeCell ref="G37:H37"/>
    <mergeCell ref="E38:F38"/>
    <mergeCell ref="G38:H38"/>
    <mergeCell ref="E42:F42"/>
    <mergeCell ref="G42:H42"/>
    <mergeCell ref="E43:F43"/>
    <mergeCell ref="G43:H43"/>
    <mergeCell ref="E39:F39"/>
    <mergeCell ref="G39:H39"/>
    <mergeCell ref="E40:F40"/>
    <mergeCell ref="G40:H40"/>
    <mergeCell ref="E41:F41"/>
  </mergeCells>
  <printOptions horizontalCentered="1"/>
  <pageMargins left="0.19685039370078741" right="0.19685039370078741" top="0.16" bottom="0.24" header="0.31" footer="0.24"/>
  <pageSetup paperSize="9" scale="43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46"/>
  <sheetViews>
    <sheetView zoomScale="110" zoomScaleNormal="110" workbookViewId="0">
      <selection activeCell="B14" sqref="B14:B15"/>
    </sheetView>
  </sheetViews>
  <sheetFormatPr defaultColWidth="9.140625" defaultRowHeight="15.75" outlineLevelRow="1"/>
  <cols>
    <col min="1" max="1" width="2.85546875" style="1" customWidth="1"/>
    <col min="2" max="2" width="55.140625" style="1" customWidth="1"/>
    <col min="3" max="3" width="11.5703125" style="35" customWidth="1"/>
    <col min="4" max="4" width="8.85546875" style="2" customWidth="1"/>
    <col min="5" max="5" width="9.5703125" style="2" customWidth="1"/>
    <col min="6" max="6" width="10.42578125" style="2" customWidth="1"/>
    <col min="7" max="7" width="10" style="1" customWidth="1"/>
    <col min="8" max="8" width="10.42578125" style="1" customWidth="1"/>
    <col min="9" max="9" width="11.42578125" style="1" customWidth="1"/>
    <col min="10" max="10" width="12.28515625" style="1" customWidth="1"/>
    <col min="11" max="13" width="9.140625" style="1"/>
    <col min="14" max="14" width="16.7109375" style="232" customWidth="1"/>
    <col min="15" max="15" width="14" style="232" customWidth="1"/>
    <col min="16" max="16" width="15.85546875" style="232" customWidth="1"/>
    <col min="17" max="17" width="16.7109375" style="232" customWidth="1"/>
    <col min="18" max="19" width="9.140625" style="232"/>
    <col min="20" max="16384" width="9.140625" style="1"/>
  </cols>
  <sheetData>
    <row r="1" spans="1:18">
      <c r="B1" s="138"/>
      <c r="C1" s="138"/>
      <c r="D1" s="138"/>
      <c r="E1" s="138"/>
      <c r="F1" s="138"/>
      <c r="G1" s="138"/>
      <c r="H1" s="138"/>
      <c r="I1" s="138"/>
    </row>
    <row r="2" spans="1:18" ht="19.5" customHeight="1">
      <c r="A2" s="18"/>
      <c r="B2" s="186" t="s">
        <v>161</v>
      </c>
      <c r="C2" s="186"/>
      <c r="D2" s="186"/>
      <c r="E2" s="186"/>
      <c r="F2" s="186"/>
      <c r="G2" s="186"/>
      <c r="H2" s="186"/>
      <c r="I2" s="186"/>
    </row>
    <row r="3" spans="1:18" ht="20.25" customHeight="1">
      <c r="A3" s="18"/>
      <c r="B3" s="186"/>
      <c r="C3" s="186"/>
      <c r="D3" s="186"/>
      <c r="E3" s="186"/>
      <c r="F3" s="186"/>
      <c r="G3" s="186"/>
      <c r="H3" s="186"/>
      <c r="I3" s="186"/>
    </row>
    <row r="4" spans="1:18" ht="8.25" customHeight="1"/>
    <row r="5" spans="1:18">
      <c r="B5" s="1" t="s">
        <v>0</v>
      </c>
      <c r="D5" s="200" t="s">
        <v>76</v>
      </c>
      <c r="E5" s="200"/>
      <c r="F5" s="200"/>
    </row>
    <row r="6" spans="1:18">
      <c r="B6" s="1" t="s">
        <v>1</v>
      </c>
      <c r="D6" s="14">
        <v>1991</v>
      </c>
      <c r="E6" s="14"/>
      <c r="F6" s="14"/>
    </row>
    <row r="7" spans="1:18" hidden="1" outlineLevel="1">
      <c r="B7" s="1" t="s">
        <v>2</v>
      </c>
      <c r="D7" s="14">
        <v>4</v>
      </c>
      <c r="E7" s="14"/>
      <c r="F7" s="14"/>
    </row>
    <row r="8" spans="1:18" hidden="1" outlineLevel="1">
      <c r="B8" s="1" t="s">
        <v>3</v>
      </c>
      <c r="D8" s="14">
        <v>31</v>
      </c>
      <c r="E8" s="14"/>
      <c r="F8" s="14"/>
    </row>
    <row r="9" spans="1:18" ht="30.75" hidden="1" customHeight="1" outlineLevel="1">
      <c r="B9" s="4" t="s">
        <v>4</v>
      </c>
      <c r="C9" s="36"/>
      <c r="D9" s="14" t="s">
        <v>77</v>
      </c>
      <c r="E9" s="14"/>
      <c r="F9" s="14"/>
    </row>
    <row r="10" spans="1:18" collapsed="1">
      <c r="B10" s="1" t="s">
        <v>5</v>
      </c>
      <c r="D10" s="44" t="s">
        <v>160</v>
      </c>
      <c r="E10" s="14"/>
      <c r="F10" s="14"/>
      <c r="J10" s="6"/>
    </row>
    <row r="11" spans="1:18" hidden="1" outlineLevel="1">
      <c r="B11" s="1" t="s">
        <v>6</v>
      </c>
      <c r="D11" s="14" t="s">
        <v>7</v>
      </c>
      <c r="E11" s="14"/>
      <c r="F11" s="14"/>
    </row>
    <row r="12" spans="1:18" ht="30.75" hidden="1" customHeight="1" outlineLevel="1">
      <c r="B12" s="4" t="s">
        <v>8</v>
      </c>
      <c r="C12" s="36"/>
      <c r="D12" s="201" t="s">
        <v>78</v>
      </c>
      <c r="E12" s="201"/>
      <c r="F12" s="14"/>
      <c r="J12" s="6"/>
    </row>
    <row r="13" spans="1:18" ht="34.5" customHeight="1" collapsed="1" thickBot="1">
      <c r="B13" s="187" t="s">
        <v>132</v>
      </c>
      <c r="C13" s="187"/>
      <c r="D13" s="187"/>
      <c r="E13" s="187"/>
      <c r="F13" s="187"/>
      <c r="G13" s="187"/>
      <c r="H13" s="187"/>
      <c r="I13" s="187"/>
      <c r="M13" s="6"/>
      <c r="N13" s="233" t="s">
        <v>133</v>
      </c>
      <c r="O13" s="233" t="s">
        <v>134</v>
      </c>
      <c r="P13" s="233" t="s">
        <v>135</v>
      </c>
      <c r="Q13" s="233" t="s">
        <v>136</v>
      </c>
    </row>
    <row r="14" spans="1:18" ht="31.5" customHeight="1">
      <c r="B14" s="188" t="s">
        <v>137</v>
      </c>
      <c r="C14" s="190" t="s">
        <v>138</v>
      </c>
      <c r="D14" s="190" t="s">
        <v>139</v>
      </c>
      <c r="E14" s="192" t="s">
        <v>140</v>
      </c>
      <c r="F14" s="194" t="s">
        <v>141</v>
      </c>
      <c r="G14" s="196" t="s">
        <v>142</v>
      </c>
      <c r="H14" s="197"/>
      <c r="I14" s="198" t="s">
        <v>163</v>
      </c>
      <c r="M14" s="6"/>
      <c r="N14" s="233"/>
      <c r="O14" s="233"/>
      <c r="P14" s="233"/>
      <c r="Q14" s="233"/>
    </row>
    <row r="15" spans="1:18" ht="44.25" customHeight="1" thickBot="1">
      <c r="B15" s="189"/>
      <c r="C15" s="191"/>
      <c r="D15" s="191"/>
      <c r="E15" s="193"/>
      <c r="F15" s="195"/>
      <c r="G15" s="48" t="s">
        <v>121</v>
      </c>
      <c r="H15" s="49" t="s">
        <v>122</v>
      </c>
      <c r="I15" s="199"/>
      <c r="N15" s="234">
        <v>88145.65</v>
      </c>
      <c r="O15" s="234">
        <v>101212.94</v>
      </c>
      <c r="P15" s="234">
        <f>82339.2*1.08</f>
        <v>88926.335999999996</v>
      </c>
      <c r="Q15" s="234">
        <f>92073.22*1.08</f>
        <v>99439.077600000004</v>
      </c>
      <c r="R15" s="232">
        <f>(N15+O15)/(P15+Q15)*100</f>
        <v>100.5272604885465</v>
      </c>
    </row>
    <row r="16" spans="1:18" ht="51" customHeight="1">
      <c r="B16" s="110" t="s">
        <v>143</v>
      </c>
      <c r="C16" s="51" t="s">
        <v>144</v>
      </c>
      <c r="D16" s="52" t="s">
        <v>145</v>
      </c>
      <c r="E16" s="53">
        <v>1.01</v>
      </c>
      <c r="F16" s="54">
        <v>1.05</v>
      </c>
      <c r="G16" s="55">
        <f>($N$15/$N$16*E16)+($O$15/$O$16*F16)</f>
        <v>20444.554173953366</v>
      </c>
      <c r="H16" s="56">
        <f>($P$15/$P$16*E16)+($Q$15/$Q$16*F16)</f>
        <v>20350.744932591413</v>
      </c>
      <c r="I16" s="57">
        <f>H16-G16</f>
        <v>-93.809241361952445</v>
      </c>
      <c r="J16" s="45"/>
      <c r="K16" s="7"/>
      <c r="L16" s="7"/>
      <c r="M16" s="58"/>
      <c r="N16" s="235">
        <v>8.8800000000000008</v>
      </c>
      <c r="O16" s="234">
        <v>10.199999999999999</v>
      </c>
      <c r="P16" s="235">
        <v>8.8800000000000008</v>
      </c>
      <c r="Q16" s="234">
        <v>10.199999999999999</v>
      </c>
    </row>
    <row r="17" spans="2:17" ht="51.75">
      <c r="B17" s="31" t="s">
        <v>129</v>
      </c>
      <c r="C17" s="51" t="s">
        <v>144</v>
      </c>
      <c r="D17" s="52" t="s">
        <v>145</v>
      </c>
      <c r="E17" s="41">
        <v>1.1299999999999999</v>
      </c>
      <c r="F17" s="42">
        <v>1.17</v>
      </c>
      <c r="G17" s="55">
        <f t="shared" ref="G17:G28" si="0">($N$15/$N$16*E17)+($O$15/$O$16*F17)</f>
        <v>22826.452076974034</v>
      </c>
      <c r="H17" s="56">
        <f t="shared" ref="H17:H21" si="1">($P$15/$P$16*E17)+($Q$15/$Q$16*F17)</f>
        <v>22722.323677011125</v>
      </c>
      <c r="I17" s="57">
        <f t="shared" ref="I17:I28" si="2">H17-G17</f>
        <v>-104.12839996290859</v>
      </c>
      <c r="J17" s="30"/>
      <c r="K17" s="8"/>
      <c r="L17" s="8"/>
      <c r="M17" s="8"/>
      <c r="N17" s="236"/>
      <c r="O17" s="237"/>
      <c r="P17" s="237"/>
      <c r="Q17" s="237"/>
    </row>
    <row r="18" spans="2:17" ht="49.5" customHeight="1">
      <c r="B18" s="62" t="s">
        <v>123</v>
      </c>
      <c r="C18" s="51" t="s">
        <v>144</v>
      </c>
      <c r="D18" s="52" t="s">
        <v>145</v>
      </c>
      <c r="E18" s="41">
        <v>0.28000000000000003</v>
      </c>
      <c r="F18" s="42">
        <v>0.27</v>
      </c>
      <c r="G18" s="55">
        <f t="shared" si="0"/>
        <v>5458.5334011658724</v>
      </c>
      <c r="H18" s="56">
        <f t="shared" si="1"/>
        <v>5436.1944452146263</v>
      </c>
      <c r="I18" s="57">
        <f t="shared" si="2"/>
        <v>-22.338955951246135</v>
      </c>
      <c r="J18" s="10"/>
      <c r="M18" s="6"/>
      <c r="N18" s="234"/>
      <c r="O18" s="234"/>
      <c r="P18" s="234"/>
      <c r="Q18" s="234"/>
    </row>
    <row r="19" spans="2:17" ht="28.5" customHeight="1">
      <c r="B19" s="32" t="s">
        <v>146</v>
      </c>
      <c r="C19" s="59" t="s">
        <v>147</v>
      </c>
      <c r="D19" s="52" t="s">
        <v>145</v>
      </c>
      <c r="E19" s="41">
        <v>0</v>
      </c>
      <c r="F19" s="42">
        <v>0</v>
      </c>
      <c r="G19" s="55">
        <f t="shared" si="0"/>
        <v>0</v>
      </c>
      <c r="H19" s="56">
        <f t="shared" si="1"/>
        <v>0</v>
      </c>
      <c r="I19" s="57">
        <f t="shared" si="2"/>
        <v>0</v>
      </c>
      <c r="J19" s="10"/>
      <c r="M19" s="6"/>
      <c r="N19" s="234"/>
      <c r="O19" s="234"/>
      <c r="P19" s="234"/>
      <c r="Q19" s="234"/>
    </row>
    <row r="20" spans="2:17" ht="57.75" customHeight="1">
      <c r="B20" s="31" t="s">
        <v>124</v>
      </c>
      <c r="C20" s="51" t="s">
        <v>144</v>
      </c>
      <c r="D20" s="52" t="s">
        <v>145</v>
      </c>
      <c r="E20" s="41">
        <v>1.1399999999999999</v>
      </c>
      <c r="F20" s="42">
        <v>1.33</v>
      </c>
      <c r="G20" s="55">
        <f t="shared" si="0"/>
        <v>24513.369157127716</v>
      </c>
      <c r="H20" s="56">
        <f t="shared" si="1"/>
        <v>24382.294615516694</v>
      </c>
      <c r="I20" s="57">
        <f t="shared" si="2"/>
        <v>-131.07454161102214</v>
      </c>
      <c r="J20" s="10"/>
      <c r="N20" s="234"/>
      <c r="O20" s="234"/>
      <c r="P20" s="234"/>
      <c r="Q20" s="234"/>
    </row>
    <row r="21" spans="2:17" ht="158.25" customHeight="1">
      <c r="B21" s="31" t="s">
        <v>125</v>
      </c>
      <c r="C21" s="51" t="s">
        <v>148</v>
      </c>
      <c r="D21" s="52" t="s">
        <v>145</v>
      </c>
      <c r="E21" s="41">
        <v>3.67</v>
      </c>
      <c r="F21" s="42">
        <v>3.33</v>
      </c>
      <c r="G21" s="55">
        <f t="shared" si="0"/>
        <v>69472.612867382093</v>
      </c>
      <c r="H21" s="56">
        <f t="shared" si="1"/>
        <v>69216.147346836253</v>
      </c>
      <c r="I21" s="57">
        <f t="shared" si="2"/>
        <v>-256.46552054584026</v>
      </c>
      <c r="J21" s="30"/>
      <c r="K21" s="8"/>
      <c r="L21" s="8"/>
      <c r="M21" s="60"/>
      <c r="N21" s="237"/>
      <c r="O21" s="237"/>
      <c r="P21" s="237"/>
      <c r="Q21" s="237"/>
    </row>
    <row r="22" spans="2:17" ht="29.25" customHeight="1">
      <c r="B22" s="61" t="s">
        <v>149</v>
      </c>
      <c r="C22" s="51" t="s">
        <v>147</v>
      </c>
      <c r="D22" s="52" t="s">
        <v>145</v>
      </c>
      <c r="E22" s="41">
        <v>1.94</v>
      </c>
      <c r="F22" s="42">
        <v>2.1</v>
      </c>
      <c r="G22" s="55">
        <v>37498.74</v>
      </c>
      <c r="H22" s="40">
        <v>38053.94</v>
      </c>
      <c r="I22" s="57">
        <f t="shared" si="2"/>
        <v>555.20000000000437</v>
      </c>
      <c r="J22" s="10"/>
      <c r="N22" s="234"/>
      <c r="O22" s="234"/>
      <c r="P22" s="234"/>
      <c r="Q22" s="234"/>
    </row>
    <row r="23" spans="2:17" ht="102.75">
      <c r="B23" s="31" t="s">
        <v>150</v>
      </c>
      <c r="C23" s="51" t="s">
        <v>144</v>
      </c>
      <c r="D23" s="52" t="s">
        <v>145</v>
      </c>
      <c r="E23" s="41">
        <v>0.22</v>
      </c>
      <c r="F23" s="42">
        <v>0.21</v>
      </c>
      <c r="G23" s="55">
        <f t="shared" si="0"/>
        <v>4267.5844496555383</v>
      </c>
      <c r="H23" s="56">
        <f t="shared" ref="H23" si="3">($P$15/$P$16*E23)+($Q$15/$Q$16*F23)</f>
        <v>4250.4050730047693</v>
      </c>
      <c r="I23" s="57">
        <f t="shared" si="2"/>
        <v>-17.179376650768972</v>
      </c>
      <c r="J23" s="10"/>
      <c r="N23" s="234"/>
      <c r="O23" s="234"/>
      <c r="P23" s="234"/>
      <c r="Q23" s="234"/>
    </row>
    <row r="24" spans="2:17" ht="48.75" customHeight="1">
      <c r="B24" s="62" t="s">
        <v>151</v>
      </c>
      <c r="C24" s="51" t="s">
        <v>144</v>
      </c>
      <c r="D24" s="52" t="s">
        <v>145</v>
      </c>
      <c r="E24" s="41">
        <v>4.6399999999999997</v>
      </c>
      <c r="F24" s="42">
        <v>4.6399999999999997</v>
      </c>
      <c r="G24" s="55">
        <v>92116.17</v>
      </c>
      <c r="H24" s="40">
        <v>57971</v>
      </c>
      <c r="I24" s="57">
        <f t="shared" si="2"/>
        <v>-34145.17</v>
      </c>
      <c r="J24" s="10"/>
      <c r="M24" s="6"/>
      <c r="N24" s="234"/>
      <c r="O24" s="234"/>
      <c r="P24" s="234"/>
      <c r="Q24" s="234"/>
    </row>
    <row r="25" spans="2:17" ht="64.5">
      <c r="B25" s="31" t="s">
        <v>152</v>
      </c>
      <c r="C25" s="99" t="s">
        <v>148</v>
      </c>
      <c r="D25" s="52" t="s">
        <v>145</v>
      </c>
      <c r="E25" s="41">
        <v>0.71</v>
      </c>
      <c r="F25" s="42">
        <v>1.44</v>
      </c>
      <c r="G25" s="55">
        <f t="shared" si="0"/>
        <v>21336.56712228405</v>
      </c>
      <c r="H25" s="56">
        <f t="shared" ref="H25:H28" si="4">($P$15/$P$16*E25)+($Q$15/$Q$16*F25)</f>
        <v>21148.559203306835</v>
      </c>
      <c r="I25" s="57">
        <f t="shared" si="2"/>
        <v>-188.00791897721501</v>
      </c>
      <c r="J25" s="10"/>
      <c r="K25" s="63"/>
      <c r="L25" s="63"/>
      <c r="M25" s="6"/>
      <c r="N25" s="234"/>
      <c r="O25" s="234"/>
      <c r="P25" s="234"/>
      <c r="Q25" s="234"/>
    </row>
    <row r="26" spans="2:17" ht="64.5">
      <c r="B26" s="31" t="s">
        <v>126</v>
      </c>
      <c r="C26" s="99" t="s">
        <v>148</v>
      </c>
      <c r="D26" s="52" t="s">
        <v>145</v>
      </c>
      <c r="E26" s="41">
        <v>0.25</v>
      </c>
      <c r="F26" s="42">
        <v>0.73</v>
      </c>
      <c r="G26" s="55">
        <f t="shared" si="0"/>
        <v>9725.2491803126668</v>
      </c>
      <c r="H26" s="56">
        <f t="shared" si="4"/>
        <v>9620.275055580285</v>
      </c>
      <c r="I26" s="57">
        <f t="shared" si="2"/>
        <v>-104.97412473238182</v>
      </c>
      <c r="J26" s="10"/>
      <c r="K26" s="64"/>
      <c r="L26" s="64"/>
      <c r="M26" s="6"/>
      <c r="N26" s="238">
        <f>K26-L26</f>
        <v>0</v>
      </c>
      <c r="O26" s="238"/>
      <c r="P26" s="234"/>
      <c r="Q26" s="234"/>
    </row>
    <row r="27" spans="2:17" ht="27" customHeight="1">
      <c r="B27" s="32" t="s">
        <v>130</v>
      </c>
      <c r="C27" s="51" t="s">
        <v>147</v>
      </c>
      <c r="D27" s="52" t="s">
        <v>145</v>
      </c>
      <c r="E27" s="41">
        <v>0.42</v>
      </c>
      <c r="F27" s="42">
        <v>0.42</v>
      </c>
      <c r="G27" s="55">
        <f t="shared" ref="G27" si="5">($N$15/$N$16*E27)+($O$15/$O$16*F27)</f>
        <v>8336.6426605723354</v>
      </c>
      <c r="H27" s="56">
        <f t="shared" ref="H27" si="6">($P$15/$P$16*E27)+($Q$15/$Q$16*F27)</f>
        <v>8300.525605468998</v>
      </c>
      <c r="I27" s="57">
        <f t="shared" si="2"/>
        <v>-36.117055103337407</v>
      </c>
      <c r="J27" s="10"/>
      <c r="K27" s="64"/>
      <c r="L27" s="64"/>
      <c r="M27" s="6"/>
      <c r="N27" s="234"/>
      <c r="O27" s="234"/>
      <c r="P27" s="234"/>
      <c r="Q27" s="234"/>
    </row>
    <row r="28" spans="2:17" ht="16.5" thickBot="1">
      <c r="B28" s="78" t="s">
        <v>127</v>
      </c>
      <c r="C28" s="79" t="s">
        <v>148</v>
      </c>
      <c r="D28" s="80" t="s">
        <v>145</v>
      </c>
      <c r="E28" s="70">
        <v>0.05</v>
      </c>
      <c r="F28" s="81">
        <v>0.25</v>
      </c>
      <c r="G28" s="82">
        <f t="shared" si="0"/>
        <v>2977.0249105723374</v>
      </c>
      <c r="H28" s="83">
        <f t="shared" si="4"/>
        <v>2937.9436454689985</v>
      </c>
      <c r="I28" s="84">
        <f t="shared" si="2"/>
        <v>-39.081265103338865</v>
      </c>
      <c r="J28" s="10"/>
      <c r="N28" s="234"/>
      <c r="O28" s="234"/>
      <c r="P28" s="234"/>
      <c r="Q28" s="234"/>
    </row>
    <row r="29" spans="2:17" ht="16.5" thickBot="1">
      <c r="B29" s="85" t="s">
        <v>128</v>
      </c>
      <c r="C29" s="86"/>
      <c r="D29" s="86"/>
      <c r="E29" s="100">
        <f>SUM(E16:E28)</f>
        <v>15.460000000000003</v>
      </c>
      <c r="F29" s="87">
        <f>SUM(F16:F28)</f>
        <v>16.940000000000001</v>
      </c>
      <c r="G29" s="88">
        <f>SUM(G16:G28)</f>
        <v>318973.49999999994</v>
      </c>
      <c r="H29" s="89">
        <f>SUM(H16:H28)</f>
        <v>284390.35360000003</v>
      </c>
      <c r="I29" s="90">
        <f>H29-G29</f>
        <v>-34583.14639999991</v>
      </c>
      <c r="J29" s="10"/>
      <c r="N29" s="234"/>
      <c r="O29" s="234"/>
      <c r="P29" s="234"/>
      <c r="Q29" s="234"/>
    </row>
    <row r="30" spans="2:17">
      <c r="B30" s="6"/>
      <c r="C30" s="6"/>
      <c r="D30" s="6"/>
      <c r="E30" s="29"/>
      <c r="F30" s="29"/>
      <c r="G30" s="29"/>
      <c r="H30" s="29"/>
      <c r="I30" s="2"/>
      <c r="N30" s="234"/>
      <c r="O30" s="234"/>
      <c r="P30" s="234"/>
      <c r="Q30" s="234"/>
    </row>
    <row r="31" spans="2:17" ht="16.5" thickBot="1">
      <c r="B31" s="221" t="s">
        <v>153</v>
      </c>
      <c r="C31" s="221"/>
      <c r="D31" s="221"/>
      <c r="E31" s="221"/>
      <c r="F31" s="221"/>
      <c r="G31" s="221"/>
      <c r="H31" s="221"/>
      <c r="I31" s="221"/>
      <c r="J31" s="74"/>
      <c r="K31" s="74"/>
      <c r="N31" s="234"/>
      <c r="O31" s="234"/>
      <c r="P31" s="234"/>
      <c r="Q31" s="234"/>
    </row>
    <row r="32" spans="2:17" ht="42" customHeight="1">
      <c r="B32" s="20"/>
      <c r="C32" s="65"/>
      <c r="D32" s="208" t="s">
        <v>154</v>
      </c>
      <c r="E32" s="222"/>
      <c r="F32" s="210" t="s">
        <v>10</v>
      </c>
      <c r="G32" s="222"/>
      <c r="H32" s="210" t="s">
        <v>11</v>
      </c>
      <c r="I32" s="223"/>
      <c r="J32" s="111"/>
      <c r="K32" s="176"/>
      <c r="L32" s="24"/>
      <c r="M32" s="9"/>
      <c r="N32" s="238"/>
      <c r="O32" s="238"/>
      <c r="P32" s="238"/>
      <c r="Q32" s="238"/>
    </row>
    <row r="33" spans="2:17">
      <c r="B33" s="21" t="s">
        <v>12</v>
      </c>
      <c r="C33" s="67"/>
      <c r="D33" s="203">
        <f>F33+H33</f>
        <v>318973.5</v>
      </c>
      <c r="E33" s="224"/>
      <c r="F33" s="203">
        <f>88145.65+101212.94+37498.74</f>
        <v>226857.33</v>
      </c>
      <c r="G33" s="224"/>
      <c r="H33" s="203">
        <f>G24</f>
        <v>92116.17</v>
      </c>
      <c r="I33" s="225"/>
      <c r="J33" s="113"/>
      <c r="K33" s="176"/>
      <c r="L33" s="10"/>
      <c r="M33" s="10"/>
      <c r="N33" s="234"/>
      <c r="O33" s="234"/>
      <c r="P33" s="234"/>
      <c r="Q33" s="234"/>
    </row>
    <row r="34" spans="2:17">
      <c r="B34" s="21" t="s">
        <v>13</v>
      </c>
      <c r="C34" s="67"/>
      <c r="D34" s="203">
        <f>F34+H34</f>
        <v>326143.99</v>
      </c>
      <c r="E34" s="224"/>
      <c r="F34" s="203">
        <f>90720.01+104168.94+36448.55</f>
        <v>231337.5</v>
      </c>
      <c r="G34" s="224"/>
      <c r="H34" s="203">
        <v>94806.49</v>
      </c>
      <c r="I34" s="225"/>
      <c r="J34" s="113"/>
      <c r="K34" s="176"/>
      <c r="L34" s="25"/>
      <c r="M34" s="10"/>
      <c r="N34" s="234"/>
      <c r="O34" s="234"/>
      <c r="P34" s="234"/>
      <c r="Q34" s="234"/>
    </row>
    <row r="35" spans="2:17" ht="16.5" thickBot="1">
      <c r="B35" s="22" t="s">
        <v>114</v>
      </c>
      <c r="C35" s="69"/>
      <c r="D35" s="205">
        <f>F35+H35</f>
        <v>284390.35360000003</v>
      </c>
      <c r="E35" s="226"/>
      <c r="F35" s="205">
        <f>H16+H17+H18+H19+H20+H21+H22+H23+H25+H26+H27+H28</f>
        <v>226419.3536</v>
      </c>
      <c r="G35" s="226"/>
      <c r="H35" s="205">
        <f>H24</f>
        <v>57971</v>
      </c>
      <c r="I35" s="227"/>
      <c r="J35" s="113"/>
      <c r="K35" s="176"/>
      <c r="L35" s="10"/>
      <c r="M35" s="10"/>
      <c r="N35" s="234"/>
      <c r="O35" s="234"/>
      <c r="P35" s="234"/>
      <c r="Q35" s="234"/>
    </row>
    <row r="36" spans="2:17" ht="27" thickBot="1">
      <c r="B36" s="23" t="s">
        <v>115</v>
      </c>
      <c r="C36" s="72"/>
      <c r="D36" s="184">
        <f>F36+H36</f>
        <v>41753.636400000003</v>
      </c>
      <c r="E36" s="228"/>
      <c r="F36" s="182">
        <f>F34-F35</f>
        <v>4918.1463999999978</v>
      </c>
      <c r="G36" s="228"/>
      <c r="H36" s="182">
        <f>H34-H35</f>
        <v>36835.490000000005</v>
      </c>
      <c r="I36" s="229"/>
      <c r="J36" s="113"/>
      <c r="K36" s="176"/>
      <c r="L36" s="10"/>
      <c r="M36" s="10"/>
      <c r="N36" s="234"/>
      <c r="O36" s="234"/>
      <c r="P36" s="234"/>
      <c r="Q36" s="234"/>
    </row>
    <row r="37" spans="2:17" ht="38.25" customHeight="1">
      <c r="B37" s="77" t="s">
        <v>116</v>
      </c>
      <c r="C37" s="26"/>
      <c r="D37" s="26"/>
      <c r="E37" s="230" t="s">
        <v>117</v>
      </c>
      <c r="F37" s="230"/>
      <c r="G37" s="231" t="s">
        <v>14</v>
      </c>
      <c r="H37" s="231"/>
      <c r="I37" s="175"/>
      <c r="J37" s="175"/>
      <c r="K37" s="8"/>
      <c r="L37" s="8"/>
      <c r="M37" s="8"/>
      <c r="N37" s="237"/>
      <c r="O37" s="237"/>
      <c r="P37" s="237"/>
      <c r="Q37" s="237"/>
    </row>
    <row r="38" spans="2:17" ht="9" customHeight="1">
      <c r="B38" s="26"/>
      <c r="C38" s="26"/>
      <c r="D38" s="26"/>
      <c r="E38" s="179" t="s">
        <v>15</v>
      </c>
      <c r="F38" s="179"/>
      <c r="G38" s="181"/>
      <c r="H38" s="181"/>
      <c r="I38" s="175"/>
      <c r="J38" s="175"/>
      <c r="K38" s="8"/>
      <c r="L38" s="8"/>
      <c r="M38" s="8"/>
      <c r="N38" s="237"/>
      <c r="O38" s="237"/>
      <c r="P38" s="237"/>
      <c r="Q38" s="237"/>
    </row>
    <row r="39" spans="2:17">
      <c r="B39" s="26" t="s">
        <v>118</v>
      </c>
      <c r="C39" s="26"/>
      <c r="D39" s="26"/>
      <c r="E39" s="177" t="s">
        <v>117</v>
      </c>
      <c r="F39" s="177"/>
      <c r="G39" s="178" t="s">
        <v>131</v>
      </c>
      <c r="H39" s="178"/>
      <c r="I39" s="175"/>
      <c r="J39" s="175"/>
      <c r="K39" s="8"/>
      <c r="L39" s="8"/>
      <c r="M39" s="8"/>
      <c r="N39" s="237"/>
      <c r="O39" s="237"/>
      <c r="P39" s="237"/>
      <c r="Q39" s="237"/>
    </row>
    <row r="40" spans="2:17" ht="8.25" customHeight="1">
      <c r="B40" s="26"/>
      <c r="C40" s="26"/>
      <c r="D40" s="26"/>
      <c r="E40" s="220" t="s">
        <v>15</v>
      </c>
      <c r="F40" s="220"/>
      <c r="G40" s="178"/>
      <c r="H40" s="178"/>
      <c r="I40" s="175"/>
      <c r="J40" s="175"/>
      <c r="N40" s="234"/>
      <c r="O40" s="234"/>
      <c r="P40" s="234"/>
      <c r="Q40" s="234"/>
    </row>
    <row r="41" spans="2:17">
      <c r="B41" s="26" t="s">
        <v>119</v>
      </c>
      <c r="C41" s="26"/>
      <c r="D41" s="26"/>
      <c r="E41" s="177" t="s">
        <v>117</v>
      </c>
      <c r="F41" s="177"/>
      <c r="G41" s="178" t="s">
        <v>157</v>
      </c>
      <c r="H41" s="178"/>
      <c r="I41" s="175"/>
      <c r="J41" s="175"/>
      <c r="N41" s="234"/>
      <c r="O41" s="234"/>
      <c r="P41" s="234"/>
      <c r="Q41" s="234"/>
    </row>
    <row r="42" spans="2:17" ht="9.75" customHeight="1">
      <c r="B42" s="27"/>
      <c r="C42" s="27"/>
      <c r="D42" s="27"/>
      <c r="E42" s="220" t="s">
        <v>15</v>
      </c>
      <c r="F42" s="220"/>
      <c r="G42" s="43"/>
      <c r="H42" s="28"/>
      <c r="I42" s="170"/>
      <c r="J42" s="28"/>
      <c r="N42" s="234"/>
      <c r="O42" s="234"/>
      <c r="P42" s="234"/>
      <c r="Q42" s="234"/>
    </row>
    <row r="43" spans="2:17">
      <c r="B43" s="26" t="s">
        <v>120</v>
      </c>
      <c r="C43" s="26"/>
      <c r="D43" s="26"/>
      <c r="E43" s="181" t="s">
        <v>117</v>
      </c>
      <c r="F43" s="181"/>
      <c r="G43" s="178" t="s">
        <v>93</v>
      </c>
      <c r="H43" s="178"/>
      <c r="I43" s="175"/>
      <c r="J43" s="175"/>
      <c r="N43" s="234"/>
      <c r="O43" s="234"/>
      <c r="P43" s="234"/>
      <c r="Q43" s="234"/>
    </row>
    <row r="44" spans="2:17" ht="8.25" customHeight="1">
      <c r="C44" s="1"/>
      <c r="D44" s="1"/>
      <c r="E44" s="220" t="s">
        <v>15</v>
      </c>
      <c r="F44" s="220"/>
      <c r="G44" s="220"/>
      <c r="H44" s="220"/>
      <c r="I44" s="2"/>
      <c r="J44" s="2"/>
      <c r="N44" s="234"/>
      <c r="O44" s="234"/>
      <c r="P44" s="234"/>
      <c r="Q44" s="234"/>
    </row>
    <row r="45" spans="2:17">
      <c r="C45" s="29"/>
    </row>
    <row r="46" spans="2:17">
      <c r="C46" s="1"/>
      <c r="D46" s="1"/>
      <c r="E46" s="1"/>
      <c r="F46" s="1"/>
    </row>
  </sheetData>
  <mergeCells count="42">
    <mergeCell ref="E38:F38"/>
    <mergeCell ref="G38:H38"/>
    <mergeCell ref="E44:F44"/>
    <mergeCell ref="G44:H44"/>
    <mergeCell ref="B2:I3"/>
    <mergeCell ref="E41:F41"/>
    <mergeCell ref="G41:H41"/>
    <mergeCell ref="E42:F42"/>
    <mergeCell ref="E43:F43"/>
    <mergeCell ref="G43:H43"/>
    <mergeCell ref="E39:F39"/>
    <mergeCell ref="G39:H39"/>
    <mergeCell ref="E40:F40"/>
    <mergeCell ref="G40:H40"/>
    <mergeCell ref="D36:E36"/>
    <mergeCell ref="F36:G36"/>
    <mergeCell ref="H36:I36"/>
    <mergeCell ref="E37:F37"/>
    <mergeCell ref="G37:H37"/>
    <mergeCell ref="D34:E34"/>
    <mergeCell ref="F34:G34"/>
    <mergeCell ref="H34:I34"/>
    <mergeCell ref="D35:E35"/>
    <mergeCell ref="F35:G35"/>
    <mergeCell ref="H35:I35"/>
    <mergeCell ref="B31:I31"/>
    <mergeCell ref="D32:E32"/>
    <mergeCell ref="F32:G32"/>
    <mergeCell ref="H32:I32"/>
    <mergeCell ref="D33:E33"/>
    <mergeCell ref="F33:G33"/>
    <mergeCell ref="H33:I33"/>
    <mergeCell ref="B13:I13"/>
    <mergeCell ref="B14:B15"/>
    <mergeCell ref="C14:C15"/>
    <mergeCell ref="D14:D15"/>
    <mergeCell ref="E14:E15"/>
    <mergeCell ref="F14:F15"/>
    <mergeCell ref="G14:H14"/>
    <mergeCell ref="I14:I15"/>
    <mergeCell ref="D5:F5"/>
    <mergeCell ref="D12:E12"/>
  </mergeCells>
  <printOptions horizontalCentered="1"/>
  <pageMargins left="0.15748031496062992" right="0.15748031496062992" top="0.15748031496062992" bottom="0.15748031496062992" header="0.16" footer="0.24"/>
  <pageSetup paperSize="9" scale="41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44"/>
  <sheetViews>
    <sheetView zoomScale="110" zoomScaleNormal="110" workbookViewId="0">
      <selection activeCell="D14" sqref="D14:D15"/>
    </sheetView>
  </sheetViews>
  <sheetFormatPr defaultColWidth="9.140625" defaultRowHeight="15.75" outlineLevelRow="1"/>
  <cols>
    <col min="1" max="1" width="2.85546875" style="1" customWidth="1"/>
    <col min="2" max="2" width="55.7109375" style="1" customWidth="1"/>
    <col min="3" max="3" width="12" style="2" customWidth="1"/>
    <col min="4" max="4" width="8.7109375" style="2" customWidth="1"/>
    <col min="5" max="5" width="10.5703125" style="2" customWidth="1"/>
    <col min="6" max="6" width="10" style="2" customWidth="1"/>
    <col min="7" max="7" width="10.140625" style="1" customWidth="1"/>
    <col min="8" max="8" width="10.42578125" style="1" customWidth="1"/>
    <col min="9" max="9" width="11.85546875" style="1" customWidth="1"/>
    <col min="10" max="10" width="12.28515625" style="1" customWidth="1"/>
    <col min="11" max="13" width="9.140625" style="1"/>
    <col min="14" max="14" width="12.140625" style="232" customWidth="1"/>
    <col min="15" max="15" width="12.28515625" style="232" customWidth="1"/>
    <col min="16" max="16" width="13.28515625" style="232" customWidth="1"/>
    <col min="17" max="17" width="12.28515625" style="232" customWidth="1"/>
    <col min="18" max="19" width="9.140625" style="232"/>
    <col min="20" max="16384" width="9.140625" style="1"/>
  </cols>
  <sheetData>
    <row r="1" spans="1:18">
      <c r="B1" s="138"/>
      <c r="C1" s="138"/>
      <c r="D1" s="138"/>
      <c r="E1" s="138"/>
      <c r="F1" s="138"/>
      <c r="G1" s="138"/>
      <c r="H1" s="138"/>
      <c r="I1" s="138"/>
    </row>
    <row r="2" spans="1:18" ht="19.5" customHeight="1">
      <c r="A2" s="18"/>
      <c r="B2" s="186" t="s">
        <v>161</v>
      </c>
      <c r="C2" s="186"/>
      <c r="D2" s="186"/>
      <c r="E2" s="186"/>
      <c r="F2" s="186"/>
      <c r="G2" s="186"/>
      <c r="H2" s="186"/>
      <c r="I2" s="186"/>
    </row>
    <row r="3" spans="1:18" ht="20.25" customHeight="1">
      <c r="A3" s="18"/>
      <c r="B3" s="186"/>
      <c r="C3" s="186"/>
      <c r="D3" s="186"/>
      <c r="E3" s="186"/>
      <c r="F3" s="186"/>
      <c r="G3" s="186"/>
      <c r="H3" s="186"/>
      <c r="I3" s="186"/>
    </row>
    <row r="4" spans="1:18" ht="8.25" customHeight="1"/>
    <row r="5" spans="1:18">
      <c r="B5" s="1" t="s">
        <v>0</v>
      </c>
      <c r="D5" s="200" t="s">
        <v>79</v>
      </c>
      <c r="E5" s="200"/>
      <c r="F5" s="200"/>
    </row>
    <row r="6" spans="1:18">
      <c r="B6" s="1" t="s">
        <v>1</v>
      </c>
      <c r="D6" s="14">
        <v>1993</v>
      </c>
      <c r="E6" s="14"/>
      <c r="F6" s="14"/>
    </row>
    <row r="7" spans="1:18" hidden="1" outlineLevel="1">
      <c r="B7" s="1" t="s">
        <v>2</v>
      </c>
      <c r="D7" s="14">
        <v>4</v>
      </c>
      <c r="E7" s="14"/>
      <c r="F7" s="14"/>
    </row>
    <row r="8" spans="1:18" hidden="1" outlineLevel="1">
      <c r="B8" s="1" t="s">
        <v>3</v>
      </c>
      <c r="D8" s="14">
        <v>31</v>
      </c>
      <c r="E8" s="14"/>
      <c r="F8" s="14"/>
    </row>
    <row r="9" spans="1:18" ht="30.75" hidden="1" customHeight="1" outlineLevel="1">
      <c r="B9" s="4" t="s">
        <v>4</v>
      </c>
      <c r="C9" s="5"/>
      <c r="D9" s="14" t="s">
        <v>80</v>
      </c>
      <c r="E9" s="14"/>
      <c r="F9" s="14"/>
    </row>
    <row r="10" spans="1:18" collapsed="1">
      <c r="B10" s="1" t="s">
        <v>5</v>
      </c>
      <c r="D10" s="44" t="s">
        <v>162</v>
      </c>
      <c r="E10" s="14"/>
      <c r="F10" s="14"/>
      <c r="J10" s="6"/>
    </row>
    <row r="11" spans="1:18" hidden="1" outlineLevel="1">
      <c r="B11" s="1" t="s">
        <v>6</v>
      </c>
      <c r="D11" s="14" t="s">
        <v>7</v>
      </c>
      <c r="E11" s="14"/>
      <c r="F11" s="14"/>
    </row>
    <row r="12" spans="1:18" ht="30.75" hidden="1" customHeight="1" outlineLevel="1">
      <c r="B12" s="4" t="s">
        <v>8</v>
      </c>
      <c r="C12" s="5"/>
      <c r="D12" s="201" t="s">
        <v>81</v>
      </c>
      <c r="E12" s="201"/>
      <c r="F12" s="14"/>
      <c r="J12" s="6"/>
    </row>
    <row r="13" spans="1:18" ht="36" customHeight="1" collapsed="1" thickBot="1">
      <c r="B13" s="187" t="s">
        <v>132</v>
      </c>
      <c r="C13" s="187"/>
      <c r="D13" s="187"/>
      <c r="E13" s="187"/>
      <c r="F13" s="187"/>
      <c r="G13" s="187"/>
      <c r="H13" s="187"/>
      <c r="I13" s="187"/>
      <c r="M13" s="6"/>
      <c r="N13" s="233" t="s">
        <v>133</v>
      </c>
      <c r="O13" s="233" t="s">
        <v>134</v>
      </c>
      <c r="P13" s="233" t="s">
        <v>135</v>
      </c>
      <c r="Q13" s="233" t="s">
        <v>136</v>
      </c>
    </row>
    <row r="14" spans="1:18" ht="34.5" customHeight="1">
      <c r="B14" s="188" t="s">
        <v>137</v>
      </c>
      <c r="C14" s="190" t="s">
        <v>138</v>
      </c>
      <c r="D14" s="190" t="s">
        <v>139</v>
      </c>
      <c r="E14" s="192" t="s">
        <v>140</v>
      </c>
      <c r="F14" s="194" t="s">
        <v>141</v>
      </c>
      <c r="G14" s="196" t="s">
        <v>142</v>
      </c>
      <c r="H14" s="197"/>
      <c r="I14" s="198" t="s">
        <v>163</v>
      </c>
      <c r="M14" s="6"/>
      <c r="N14" s="233"/>
      <c r="O14" s="233"/>
      <c r="P14" s="233"/>
      <c r="Q14" s="233"/>
    </row>
    <row r="15" spans="1:18" ht="39.75" customHeight="1" thickBot="1">
      <c r="B15" s="189"/>
      <c r="C15" s="191"/>
      <c r="D15" s="191"/>
      <c r="E15" s="193"/>
      <c r="F15" s="195"/>
      <c r="G15" s="48" t="s">
        <v>121</v>
      </c>
      <c r="H15" s="49" t="s">
        <v>122</v>
      </c>
      <c r="I15" s="199"/>
      <c r="N15" s="234">
        <v>88790.98</v>
      </c>
      <c r="O15" s="234">
        <v>101953.94</v>
      </c>
      <c r="P15" s="234">
        <f>83455.59*1.07</f>
        <v>89297.481299999999</v>
      </c>
      <c r="Q15" s="234">
        <f>93321.6*1.07</f>
        <v>99854.112000000008</v>
      </c>
      <c r="R15" s="232">
        <f>(N15+O15)/(P15+Q15)*100</f>
        <v>100.84235436360977</v>
      </c>
    </row>
    <row r="16" spans="1:18" ht="53.25" customHeight="1">
      <c r="B16" s="110" t="s">
        <v>143</v>
      </c>
      <c r="C16" s="51" t="s">
        <v>144</v>
      </c>
      <c r="D16" s="52" t="s">
        <v>145</v>
      </c>
      <c r="E16" s="53">
        <v>1.01</v>
      </c>
      <c r="F16" s="54">
        <v>1.05</v>
      </c>
      <c r="G16" s="55">
        <f>($N$15/$N$16*E16)+($O$15/$O$16*F16)</f>
        <v>20594.232605988342</v>
      </c>
      <c r="H16" s="56">
        <f>($P$15/$P$16*E16)+($Q$15/$Q$16*F16)</f>
        <v>20435.682660313993</v>
      </c>
      <c r="I16" s="57">
        <f>H16-G16</f>
        <v>-158.54994567434915</v>
      </c>
      <c r="J16" s="45"/>
      <c r="K16" s="7"/>
      <c r="L16" s="7"/>
      <c r="M16" s="58"/>
      <c r="N16" s="235">
        <v>8.8800000000000008</v>
      </c>
      <c r="O16" s="234">
        <v>10.199999999999999</v>
      </c>
      <c r="P16" s="235">
        <v>8.8800000000000008</v>
      </c>
      <c r="Q16" s="234">
        <v>10.199999999999999</v>
      </c>
    </row>
    <row r="17" spans="2:17" ht="51.75">
      <c r="B17" s="31" t="s">
        <v>129</v>
      </c>
      <c r="C17" s="51" t="s">
        <v>144</v>
      </c>
      <c r="D17" s="52" t="s">
        <v>145</v>
      </c>
      <c r="E17" s="41">
        <v>1.1299999999999999</v>
      </c>
      <c r="F17" s="42">
        <v>1.17</v>
      </c>
      <c r="G17" s="55">
        <f t="shared" ref="G17:G28" si="0">($N$15/$N$16*E17)+($O$15/$O$16*F17)</f>
        <v>22993.568831743505</v>
      </c>
      <c r="H17" s="56">
        <f t="shared" ref="H17:H21" si="1">($P$15/$P$16*E17)+($Q$15/$Q$16*F17)</f>
        <v>22817.15963940779</v>
      </c>
      <c r="I17" s="57">
        <f t="shared" ref="I17:I28" si="2">H17-G17</f>
        <v>-176.40919233571549</v>
      </c>
      <c r="J17" s="30"/>
      <c r="K17" s="8"/>
      <c r="L17" s="8"/>
      <c r="M17" s="8"/>
      <c r="N17" s="236"/>
      <c r="O17" s="237"/>
      <c r="P17" s="237"/>
      <c r="Q17" s="237"/>
    </row>
    <row r="18" spans="2:17" ht="51.75" customHeight="1">
      <c r="B18" s="62" t="s">
        <v>123</v>
      </c>
      <c r="C18" s="51" t="s">
        <v>144</v>
      </c>
      <c r="D18" s="52" t="s">
        <v>145</v>
      </c>
      <c r="E18" s="41">
        <v>0.28000000000000003</v>
      </c>
      <c r="F18" s="42">
        <v>0.27</v>
      </c>
      <c r="G18" s="55">
        <f t="shared" si="0"/>
        <v>5498.4963502914688</v>
      </c>
      <c r="H18" s="56">
        <f t="shared" si="1"/>
        <v>5458.8834296502391</v>
      </c>
      <c r="I18" s="57">
        <f t="shared" si="2"/>
        <v>-39.612920641229721</v>
      </c>
      <c r="J18" s="10"/>
      <c r="M18" s="6"/>
      <c r="N18" s="234"/>
      <c r="O18" s="234"/>
      <c r="P18" s="234"/>
      <c r="Q18" s="234"/>
    </row>
    <row r="19" spans="2:17" ht="26.25">
      <c r="B19" s="32" t="s">
        <v>146</v>
      </c>
      <c r="C19" s="59" t="s">
        <v>147</v>
      </c>
      <c r="D19" s="52" t="s">
        <v>145</v>
      </c>
      <c r="E19" s="41">
        <v>0</v>
      </c>
      <c r="F19" s="42">
        <v>0</v>
      </c>
      <c r="G19" s="55">
        <f t="shared" si="0"/>
        <v>0</v>
      </c>
      <c r="H19" s="56">
        <f t="shared" si="1"/>
        <v>0</v>
      </c>
      <c r="I19" s="57">
        <f t="shared" si="2"/>
        <v>0</v>
      </c>
      <c r="J19" s="10"/>
      <c r="M19" s="6"/>
      <c r="N19" s="234"/>
      <c r="O19" s="234"/>
      <c r="P19" s="234"/>
      <c r="Q19" s="234"/>
    </row>
    <row r="20" spans="2:17" ht="51.75">
      <c r="B20" s="31" t="s">
        <v>124</v>
      </c>
      <c r="C20" s="51" t="s">
        <v>144</v>
      </c>
      <c r="D20" s="52" t="s">
        <v>145</v>
      </c>
      <c r="E20" s="41">
        <v>1.1399999999999999</v>
      </c>
      <c r="F20" s="42">
        <v>1.33</v>
      </c>
      <c r="G20" s="55">
        <f t="shared" si="0"/>
        <v>24692.836164281929</v>
      </c>
      <c r="H20" s="56">
        <f t="shared" si="1"/>
        <v>24484.058877861688</v>
      </c>
      <c r="I20" s="57">
        <f t="shared" si="2"/>
        <v>-208.77728642024158</v>
      </c>
      <c r="J20" s="10"/>
      <c r="N20" s="234"/>
      <c r="O20" s="234"/>
      <c r="P20" s="234"/>
      <c r="Q20" s="234"/>
    </row>
    <row r="21" spans="2:17" ht="146.25" customHeight="1">
      <c r="B21" s="31" t="s">
        <v>125</v>
      </c>
      <c r="C21" s="51" t="s">
        <v>148</v>
      </c>
      <c r="D21" s="52" t="s">
        <v>145</v>
      </c>
      <c r="E21" s="41">
        <v>3.67</v>
      </c>
      <c r="F21" s="42">
        <v>3.33</v>
      </c>
      <c r="G21" s="55">
        <f t="shared" si="0"/>
        <v>69981.234904345518</v>
      </c>
      <c r="H21" s="56">
        <f t="shared" si="1"/>
        <v>69505.033877285372</v>
      </c>
      <c r="I21" s="57">
        <f t="shared" si="2"/>
        <v>-476.20102706014586</v>
      </c>
      <c r="J21" s="30"/>
      <c r="K21" s="8"/>
      <c r="L21" s="8"/>
      <c r="M21" s="60"/>
      <c r="N21" s="237"/>
      <c r="O21" s="237"/>
      <c r="P21" s="237"/>
      <c r="Q21" s="237"/>
    </row>
    <row r="22" spans="2:17" ht="28.5" customHeight="1">
      <c r="B22" s="61" t="s">
        <v>149</v>
      </c>
      <c r="C22" s="51" t="s">
        <v>147</v>
      </c>
      <c r="D22" s="52" t="s">
        <v>145</v>
      </c>
      <c r="E22" s="41">
        <v>1.94</v>
      </c>
      <c r="F22" s="42">
        <v>2.1</v>
      </c>
      <c r="G22" s="55">
        <v>37997.58</v>
      </c>
      <c r="H22" s="40">
        <v>38569.9</v>
      </c>
      <c r="I22" s="57">
        <f t="shared" si="2"/>
        <v>572.31999999999971</v>
      </c>
      <c r="J22" s="10"/>
      <c r="N22" s="234"/>
      <c r="O22" s="234"/>
      <c r="P22" s="234"/>
      <c r="Q22" s="234"/>
    </row>
    <row r="23" spans="2:17" ht="107.25" customHeight="1">
      <c r="B23" s="31" t="s">
        <v>150</v>
      </c>
      <c r="C23" s="51" t="s">
        <v>144</v>
      </c>
      <c r="D23" s="52" t="s">
        <v>145</v>
      </c>
      <c r="E23" s="41">
        <v>0.22</v>
      </c>
      <c r="F23" s="42">
        <v>0.21</v>
      </c>
      <c r="G23" s="55">
        <f t="shared" si="0"/>
        <v>4298.8282374138853</v>
      </c>
      <c r="H23" s="56">
        <f>($P$15/$P$16*E23)+($Q$15/$Q$16*F23)</f>
        <v>4268.1449401033387</v>
      </c>
      <c r="I23" s="57">
        <f t="shared" si="2"/>
        <v>-30.68329731054655</v>
      </c>
      <c r="J23" s="10"/>
      <c r="N23" s="234"/>
      <c r="O23" s="234"/>
      <c r="P23" s="234"/>
      <c r="Q23" s="234"/>
    </row>
    <row r="24" spans="2:17" ht="48">
      <c r="B24" s="62" t="s">
        <v>151</v>
      </c>
      <c r="C24" s="51" t="s">
        <v>144</v>
      </c>
      <c r="D24" s="52" t="s">
        <v>145</v>
      </c>
      <c r="E24" s="41">
        <v>4.6399999999999997</v>
      </c>
      <c r="F24" s="42">
        <v>4.6399999999999997</v>
      </c>
      <c r="G24" s="55">
        <v>92790.57</v>
      </c>
      <c r="H24" s="40">
        <v>107935</v>
      </c>
      <c r="I24" s="57">
        <f t="shared" si="2"/>
        <v>15144.429999999993</v>
      </c>
      <c r="J24" s="10"/>
      <c r="M24" s="6"/>
      <c r="N24" s="234"/>
      <c r="O24" s="234"/>
      <c r="P24" s="234"/>
      <c r="Q24" s="234"/>
    </row>
    <row r="25" spans="2:17" ht="64.5">
      <c r="B25" s="31" t="s">
        <v>152</v>
      </c>
      <c r="C25" s="59" t="s">
        <v>148</v>
      </c>
      <c r="D25" s="52" t="s">
        <v>145</v>
      </c>
      <c r="E25" s="41">
        <v>0.71</v>
      </c>
      <c r="F25" s="42">
        <v>1.44</v>
      </c>
      <c r="G25" s="55">
        <f t="shared" si="0"/>
        <v>21492.776218071012</v>
      </c>
      <c r="H25" s="56">
        <f t="shared" ref="H25:H28" si="3">($P$15/$P$16*E25)+($Q$15/$Q$16*F25)</f>
        <v>21236.827200814787</v>
      </c>
      <c r="I25" s="57">
        <f t="shared" si="2"/>
        <v>-255.94901725622549</v>
      </c>
      <c r="J25" s="10"/>
      <c r="K25" s="63"/>
      <c r="L25" s="63"/>
      <c r="M25" s="6"/>
      <c r="N25" s="234"/>
      <c r="O25" s="234"/>
      <c r="P25" s="234"/>
      <c r="Q25" s="234"/>
    </row>
    <row r="26" spans="2:17" ht="64.5">
      <c r="B26" s="31" t="s">
        <v>126</v>
      </c>
      <c r="C26" s="59" t="s">
        <v>148</v>
      </c>
      <c r="D26" s="52" t="s">
        <v>145</v>
      </c>
      <c r="E26" s="41">
        <v>0.25</v>
      </c>
      <c r="F26" s="42">
        <v>0.73</v>
      </c>
      <c r="G26" s="55">
        <f t="shared" si="0"/>
        <v>9796.4496075781681</v>
      </c>
      <c r="H26" s="56">
        <f t="shared" si="3"/>
        <v>9660.4274084062017</v>
      </c>
      <c r="I26" s="57">
        <f t="shared" si="2"/>
        <v>-136.02219917196635</v>
      </c>
      <c r="J26" s="10"/>
      <c r="K26" s="64"/>
      <c r="L26" s="64"/>
      <c r="M26" s="6"/>
      <c r="N26" s="238">
        <f>K26-L26</f>
        <v>0</v>
      </c>
      <c r="O26" s="238"/>
      <c r="P26" s="234"/>
      <c r="Q26" s="234"/>
    </row>
    <row r="27" spans="2:17" ht="24">
      <c r="B27" s="32" t="s">
        <v>130</v>
      </c>
      <c r="C27" s="51" t="s">
        <v>147</v>
      </c>
      <c r="D27" s="52" t="s">
        <v>145</v>
      </c>
      <c r="E27" s="41">
        <v>0.42</v>
      </c>
      <c r="F27" s="42">
        <v>0.42</v>
      </c>
      <c r="G27" s="55">
        <f t="shared" si="0"/>
        <v>8397.6767901430831</v>
      </c>
      <c r="H27" s="56">
        <f t="shared" si="3"/>
        <v>8335.169426828299</v>
      </c>
      <c r="I27" s="57">
        <f t="shared" si="2"/>
        <v>-62.507363314784016</v>
      </c>
      <c r="J27" s="10"/>
      <c r="K27" s="64"/>
      <c r="L27" s="64"/>
      <c r="M27" s="6"/>
      <c r="N27" s="234"/>
      <c r="O27" s="234"/>
      <c r="P27" s="234"/>
      <c r="Q27" s="234"/>
    </row>
    <row r="28" spans="2:17" ht="16.5" thickBot="1">
      <c r="B28" s="78" t="s">
        <v>127</v>
      </c>
      <c r="C28" s="79" t="s">
        <v>148</v>
      </c>
      <c r="D28" s="80" t="s">
        <v>145</v>
      </c>
      <c r="E28" s="70">
        <v>0.05</v>
      </c>
      <c r="F28" s="81">
        <v>0.25</v>
      </c>
      <c r="G28" s="82">
        <f t="shared" si="0"/>
        <v>2998.8202901430845</v>
      </c>
      <c r="H28" s="83">
        <f t="shared" si="3"/>
        <v>2950.2058393282996</v>
      </c>
      <c r="I28" s="84">
        <f t="shared" si="2"/>
        <v>-48.614450814784959</v>
      </c>
      <c r="J28" s="10"/>
      <c r="N28" s="234"/>
      <c r="O28" s="234"/>
      <c r="P28" s="234"/>
      <c r="Q28" s="234"/>
    </row>
    <row r="29" spans="2:17" ht="16.5" thickBot="1">
      <c r="B29" s="85" t="s">
        <v>128</v>
      </c>
      <c r="C29" s="86"/>
      <c r="D29" s="86"/>
      <c r="E29" s="100">
        <f>SUM(E16:E28)</f>
        <v>15.460000000000003</v>
      </c>
      <c r="F29" s="87">
        <f>SUM(F16:F28)</f>
        <v>16.940000000000001</v>
      </c>
      <c r="G29" s="88">
        <f>SUM(G16:G28)</f>
        <v>321533.07</v>
      </c>
      <c r="H29" s="89">
        <f>SUM(H16:H28)</f>
        <v>335656.49330000003</v>
      </c>
      <c r="I29" s="90">
        <f>H29-G29</f>
        <v>14123.423300000024</v>
      </c>
      <c r="J29" s="10"/>
      <c r="N29" s="234"/>
      <c r="O29" s="234"/>
      <c r="P29" s="234"/>
      <c r="Q29" s="234"/>
    </row>
    <row r="30" spans="2:17">
      <c r="B30" s="6"/>
      <c r="C30" s="6"/>
      <c r="D30" s="6"/>
      <c r="E30" s="29"/>
      <c r="F30" s="29"/>
      <c r="G30" s="29"/>
      <c r="H30" s="29"/>
      <c r="I30" s="2"/>
      <c r="N30" s="234"/>
      <c r="O30" s="234"/>
      <c r="P30" s="234"/>
      <c r="Q30" s="234"/>
    </row>
    <row r="31" spans="2:17" ht="16.5" thickBot="1">
      <c r="B31" s="221" t="s">
        <v>153</v>
      </c>
      <c r="C31" s="221"/>
      <c r="D31" s="221"/>
      <c r="E31" s="221"/>
      <c r="F31" s="221"/>
      <c r="G31" s="221"/>
      <c r="H31" s="221"/>
      <c r="I31" s="221"/>
      <c r="J31" s="74"/>
      <c r="K31" s="74"/>
      <c r="N31" s="234"/>
      <c r="O31" s="234"/>
      <c r="P31" s="234"/>
      <c r="Q31" s="234"/>
    </row>
    <row r="32" spans="2:17" ht="44.25" customHeight="1">
      <c r="B32" s="20"/>
      <c r="C32" s="65"/>
      <c r="D32" s="208" t="s">
        <v>154</v>
      </c>
      <c r="E32" s="209"/>
      <c r="F32" s="210" t="s">
        <v>10</v>
      </c>
      <c r="G32" s="211"/>
      <c r="H32" s="210" t="s">
        <v>11</v>
      </c>
      <c r="I32" s="212"/>
      <c r="J32" s="111"/>
      <c r="K32" s="112"/>
      <c r="L32" s="24"/>
      <c r="M32" s="9"/>
      <c r="N32" s="238"/>
      <c r="O32" s="238"/>
      <c r="P32" s="238"/>
      <c r="Q32" s="238"/>
    </row>
    <row r="33" spans="2:17">
      <c r="B33" s="21" t="s">
        <v>12</v>
      </c>
      <c r="C33" s="67"/>
      <c r="D33" s="203">
        <f>F33+H33</f>
        <v>321533.07</v>
      </c>
      <c r="E33" s="204"/>
      <c r="F33" s="203">
        <f>88790.98+101953.94+37997.58</f>
        <v>228742.5</v>
      </c>
      <c r="G33" s="204"/>
      <c r="H33" s="203">
        <f>G24</f>
        <v>92790.57</v>
      </c>
      <c r="I33" s="213"/>
      <c r="J33" s="113"/>
      <c r="K33" s="114"/>
      <c r="L33" s="10"/>
      <c r="M33" s="10"/>
      <c r="N33" s="234"/>
      <c r="O33" s="234"/>
      <c r="P33" s="234"/>
      <c r="Q33" s="234"/>
    </row>
    <row r="34" spans="2:17">
      <c r="B34" s="21" t="s">
        <v>13</v>
      </c>
      <c r="C34" s="67"/>
      <c r="D34" s="203">
        <f>F34+H34</f>
        <v>311189.93</v>
      </c>
      <c r="E34" s="204"/>
      <c r="F34" s="203">
        <f>85781.64+98498.48+37264.13</f>
        <v>221544.25</v>
      </c>
      <c r="G34" s="204"/>
      <c r="H34" s="203">
        <v>89645.68</v>
      </c>
      <c r="I34" s="213"/>
      <c r="J34" s="113"/>
      <c r="K34" s="114"/>
      <c r="L34" s="25"/>
      <c r="M34" s="10"/>
      <c r="N34" s="234"/>
      <c r="O34" s="234"/>
      <c r="P34" s="234"/>
      <c r="Q34" s="234"/>
    </row>
    <row r="35" spans="2:17" ht="16.5" thickBot="1">
      <c r="B35" s="22" t="s">
        <v>114</v>
      </c>
      <c r="C35" s="69"/>
      <c r="D35" s="205">
        <f>F35+H35</f>
        <v>335656.49329999997</v>
      </c>
      <c r="E35" s="206"/>
      <c r="F35" s="205">
        <f>H16+H17+H18+H19+H20+H21+H22+H23+H25+H26+H27+H28</f>
        <v>227721.4933</v>
      </c>
      <c r="G35" s="206"/>
      <c r="H35" s="205">
        <f>H24</f>
        <v>107935</v>
      </c>
      <c r="I35" s="214"/>
      <c r="J35" s="113"/>
      <c r="K35" s="114"/>
      <c r="L35" s="10"/>
      <c r="M35" s="10"/>
      <c r="N35" s="234"/>
      <c r="O35" s="234"/>
      <c r="P35" s="234"/>
      <c r="Q35" s="234"/>
    </row>
    <row r="36" spans="2:17" ht="27" thickBot="1">
      <c r="B36" s="23" t="s">
        <v>115</v>
      </c>
      <c r="C36" s="72"/>
      <c r="D36" s="184">
        <f>F36+H36</f>
        <v>-24466.563300000009</v>
      </c>
      <c r="E36" s="185"/>
      <c r="F36" s="182">
        <f>F34-F35</f>
        <v>-6177.2433000000019</v>
      </c>
      <c r="G36" s="183"/>
      <c r="H36" s="182">
        <f>H34-H35</f>
        <v>-18289.320000000007</v>
      </c>
      <c r="I36" s="202"/>
      <c r="J36" s="113"/>
      <c r="K36" s="114"/>
      <c r="L36" s="10"/>
      <c r="M36" s="10"/>
      <c r="N36" s="234"/>
      <c r="O36" s="234"/>
      <c r="P36" s="234"/>
      <c r="Q36" s="234"/>
    </row>
    <row r="37" spans="2:17" ht="29.25" customHeight="1">
      <c r="B37" s="77" t="s">
        <v>116</v>
      </c>
      <c r="C37" s="77"/>
      <c r="D37" s="77"/>
      <c r="E37" s="230" t="s">
        <v>117</v>
      </c>
      <c r="F37" s="230"/>
      <c r="G37" s="178" t="s">
        <v>14</v>
      </c>
      <c r="H37" s="178"/>
      <c r="I37" s="175"/>
      <c r="J37" s="175"/>
      <c r="K37" s="8"/>
      <c r="L37" s="8"/>
      <c r="M37" s="8"/>
      <c r="N37" s="237"/>
      <c r="O37" s="237"/>
      <c r="P37" s="237"/>
      <c r="Q37" s="237"/>
    </row>
    <row r="38" spans="2:17" ht="9.75" customHeight="1">
      <c r="B38" s="26"/>
      <c r="C38" s="26"/>
      <c r="D38" s="26"/>
      <c r="E38" s="179" t="s">
        <v>15</v>
      </c>
      <c r="F38" s="179"/>
      <c r="G38" s="181"/>
      <c r="H38" s="181"/>
      <c r="I38" s="175"/>
      <c r="J38" s="175"/>
      <c r="K38" s="8"/>
      <c r="L38" s="8"/>
      <c r="M38" s="8"/>
      <c r="N38" s="237"/>
      <c r="O38" s="237"/>
      <c r="P38" s="237"/>
      <c r="Q38" s="237"/>
    </row>
    <row r="39" spans="2:17">
      <c r="B39" s="26" t="s">
        <v>118</v>
      </c>
      <c r="C39" s="26"/>
      <c r="D39" s="26"/>
      <c r="E39" s="177" t="s">
        <v>117</v>
      </c>
      <c r="F39" s="177"/>
      <c r="G39" s="178" t="s">
        <v>131</v>
      </c>
      <c r="H39" s="178"/>
      <c r="I39" s="175"/>
      <c r="J39" s="175"/>
      <c r="K39" s="8"/>
      <c r="L39" s="8"/>
      <c r="M39" s="8"/>
      <c r="N39" s="237"/>
      <c r="O39" s="237"/>
      <c r="P39" s="237"/>
      <c r="Q39" s="237"/>
    </row>
    <row r="40" spans="2:17" ht="6.75" customHeight="1">
      <c r="B40" s="26"/>
      <c r="C40" s="26"/>
      <c r="D40" s="26"/>
      <c r="E40" s="220" t="s">
        <v>15</v>
      </c>
      <c r="F40" s="220"/>
      <c r="G40" s="178"/>
      <c r="H40" s="178"/>
      <c r="I40" s="175"/>
      <c r="J40" s="175"/>
      <c r="N40" s="234"/>
      <c r="O40" s="234"/>
      <c r="P40" s="234"/>
      <c r="Q40" s="234"/>
    </row>
    <row r="41" spans="2:17">
      <c r="B41" s="26" t="s">
        <v>119</v>
      </c>
      <c r="C41" s="26"/>
      <c r="D41" s="26"/>
      <c r="E41" s="177" t="s">
        <v>117</v>
      </c>
      <c r="F41" s="177"/>
      <c r="G41" s="178" t="s">
        <v>157</v>
      </c>
      <c r="H41" s="178"/>
      <c r="I41" s="175"/>
      <c r="J41" s="175"/>
      <c r="N41" s="234"/>
      <c r="O41" s="234"/>
      <c r="P41" s="234"/>
      <c r="Q41" s="234"/>
    </row>
    <row r="42" spans="2:17" ht="9.75" customHeight="1">
      <c r="B42" s="27"/>
      <c r="C42" s="27"/>
      <c r="D42" s="27"/>
      <c r="E42" s="220" t="s">
        <v>15</v>
      </c>
      <c r="F42" s="220"/>
      <c r="G42" s="43"/>
      <c r="H42" s="28"/>
      <c r="I42" s="170"/>
      <c r="J42" s="28"/>
      <c r="N42" s="234"/>
      <c r="O42" s="234"/>
      <c r="P42" s="234"/>
      <c r="Q42" s="234"/>
    </row>
    <row r="43" spans="2:17">
      <c r="B43" s="26" t="s">
        <v>120</v>
      </c>
      <c r="C43" s="26"/>
      <c r="D43" s="26"/>
      <c r="E43" s="181" t="s">
        <v>117</v>
      </c>
      <c r="F43" s="181"/>
      <c r="G43" s="178" t="s">
        <v>93</v>
      </c>
      <c r="H43" s="178"/>
      <c r="I43" s="175"/>
      <c r="J43" s="175"/>
      <c r="N43" s="234"/>
      <c r="O43" s="234"/>
      <c r="P43" s="234"/>
      <c r="Q43" s="234"/>
    </row>
    <row r="44" spans="2:17" ht="7.5" customHeight="1">
      <c r="C44" s="1"/>
      <c r="D44" s="1"/>
      <c r="E44" s="220" t="s">
        <v>15</v>
      </c>
      <c r="F44" s="220"/>
      <c r="G44" s="220"/>
      <c r="H44" s="220"/>
      <c r="I44" s="2"/>
      <c r="J44" s="2"/>
      <c r="N44" s="234"/>
      <c r="O44" s="234"/>
      <c r="P44" s="234"/>
      <c r="Q44" s="234"/>
    </row>
  </sheetData>
  <mergeCells count="42">
    <mergeCell ref="F32:G32"/>
    <mergeCell ref="H32:I32"/>
    <mergeCell ref="D33:E33"/>
    <mergeCell ref="F33:G33"/>
    <mergeCell ref="E44:F44"/>
    <mergeCell ref="G44:H44"/>
    <mergeCell ref="E43:F43"/>
    <mergeCell ref="G43:H43"/>
    <mergeCell ref="H36:I36"/>
    <mergeCell ref="E42:F42"/>
    <mergeCell ref="E37:F37"/>
    <mergeCell ref="G37:H37"/>
    <mergeCell ref="E40:F40"/>
    <mergeCell ref="G40:H40"/>
    <mergeCell ref="E41:F41"/>
    <mergeCell ref="G41:H41"/>
    <mergeCell ref="B2:I3"/>
    <mergeCell ref="B13:I13"/>
    <mergeCell ref="B14:B15"/>
    <mergeCell ref="C14:C15"/>
    <mergeCell ref="D14:D15"/>
    <mergeCell ref="E14:E15"/>
    <mergeCell ref="F14:F15"/>
    <mergeCell ref="B31:I31"/>
    <mergeCell ref="D32:E32"/>
    <mergeCell ref="D36:E36"/>
    <mergeCell ref="F36:G36"/>
    <mergeCell ref="G14:H14"/>
    <mergeCell ref="H35:I35"/>
    <mergeCell ref="E39:F39"/>
    <mergeCell ref="G39:H39"/>
    <mergeCell ref="H33:I33"/>
    <mergeCell ref="E38:F38"/>
    <mergeCell ref="G38:H38"/>
    <mergeCell ref="D34:E34"/>
    <mergeCell ref="F34:G34"/>
    <mergeCell ref="H34:I34"/>
    <mergeCell ref="D35:E35"/>
    <mergeCell ref="F35:G35"/>
    <mergeCell ref="I14:I15"/>
    <mergeCell ref="D5:F5"/>
    <mergeCell ref="D12:E12"/>
  </mergeCells>
  <printOptions horizontalCentered="1"/>
  <pageMargins left="0.15748031496062992" right="0.15748031496062992" top="0.15748031496062992" bottom="0.15748031496062992" header="0.31496062992125984" footer="0.31496062992125984"/>
  <pageSetup paperSize="9" scale="43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>
  <sheetPr>
    <pageSetUpPr fitToPage="1"/>
  </sheetPr>
  <dimension ref="B1:S43"/>
  <sheetViews>
    <sheetView zoomScale="110" zoomScaleNormal="110" workbookViewId="0">
      <selection activeCell="B1" sqref="B1:I1"/>
    </sheetView>
  </sheetViews>
  <sheetFormatPr defaultColWidth="9.140625" defaultRowHeight="15.75" outlineLevelRow="1"/>
  <cols>
    <col min="1" max="1" width="2.85546875" style="1" customWidth="1"/>
    <col min="2" max="2" width="54.85546875" style="1" customWidth="1"/>
    <col min="3" max="3" width="12.7109375" style="29" customWidth="1"/>
    <col min="4" max="4" width="9.140625" style="2" customWidth="1"/>
    <col min="5" max="5" width="9.85546875" style="2" customWidth="1"/>
    <col min="6" max="6" width="11.140625" style="2" customWidth="1"/>
    <col min="7" max="8" width="10.28515625" style="1" customWidth="1"/>
    <col min="9" max="9" width="11.7109375" style="1" customWidth="1"/>
    <col min="10" max="10" width="12.28515625" style="1" customWidth="1"/>
    <col min="11" max="13" width="9.140625" style="1"/>
    <col min="14" max="14" width="13.28515625" style="232" customWidth="1"/>
    <col min="15" max="15" width="14.7109375" style="232" customWidth="1"/>
    <col min="16" max="16" width="14.140625" style="232" customWidth="1"/>
    <col min="17" max="17" width="14.5703125" style="232" customWidth="1"/>
    <col min="18" max="19" width="9.140625" style="232"/>
    <col min="20" max="16384" width="9.140625" style="1"/>
  </cols>
  <sheetData>
    <row r="1" spans="2:18">
      <c r="B1" s="137"/>
      <c r="C1" s="137"/>
      <c r="D1" s="137"/>
      <c r="E1" s="137"/>
      <c r="F1" s="137"/>
      <c r="G1" s="137"/>
      <c r="H1" s="137"/>
      <c r="I1" s="137"/>
    </row>
    <row r="2" spans="2:18" ht="19.5" customHeight="1">
      <c r="B2" s="186" t="s">
        <v>161</v>
      </c>
      <c r="C2" s="186"/>
      <c r="D2" s="186"/>
      <c r="E2" s="186"/>
      <c r="F2" s="186"/>
      <c r="G2" s="186"/>
      <c r="H2" s="186"/>
      <c r="I2" s="186"/>
    </row>
    <row r="3" spans="2:18" ht="20.25" customHeight="1">
      <c r="B3" s="186"/>
      <c r="C3" s="186"/>
      <c r="D3" s="186"/>
      <c r="E3" s="186"/>
      <c r="F3" s="186"/>
      <c r="G3" s="186"/>
      <c r="H3" s="186"/>
      <c r="I3" s="186"/>
    </row>
    <row r="4" spans="2:18" ht="15" customHeight="1"/>
    <row r="5" spans="2:18">
      <c r="B5" s="1" t="s">
        <v>0</v>
      </c>
      <c r="D5" s="200" t="s">
        <v>82</v>
      </c>
      <c r="E5" s="200"/>
      <c r="F5" s="200"/>
    </row>
    <row r="6" spans="2:18">
      <c r="B6" s="1" t="s">
        <v>1</v>
      </c>
      <c r="D6" s="14">
        <v>1962</v>
      </c>
      <c r="E6" s="14"/>
      <c r="F6" s="14"/>
    </row>
    <row r="7" spans="2:18" hidden="1" outlineLevel="1">
      <c r="B7" s="1" t="s">
        <v>2</v>
      </c>
      <c r="D7" s="14">
        <v>2</v>
      </c>
      <c r="E7" s="14"/>
      <c r="F7" s="14"/>
    </row>
    <row r="8" spans="2:18" hidden="1" outlineLevel="1">
      <c r="B8" s="1" t="s">
        <v>3</v>
      </c>
      <c r="D8" s="14">
        <v>16</v>
      </c>
      <c r="E8" s="14"/>
      <c r="F8" s="14"/>
    </row>
    <row r="9" spans="2:18" ht="30.75" hidden="1" customHeight="1" outlineLevel="1">
      <c r="B9" s="4" t="s">
        <v>4</v>
      </c>
      <c r="C9" s="37"/>
      <c r="D9" s="14" t="s">
        <v>83</v>
      </c>
      <c r="E9" s="14"/>
      <c r="F9" s="14"/>
    </row>
    <row r="10" spans="2:18" collapsed="1">
      <c r="B10" s="1" t="s">
        <v>5</v>
      </c>
      <c r="D10" s="19" t="s">
        <v>112</v>
      </c>
      <c r="E10" s="14"/>
      <c r="F10" s="14"/>
      <c r="J10" s="6"/>
    </row>
    <row r="11" spans="2:18" hidden="1" outlineLevel="1">
      <c r="B11" s="1" t="s">
        <v>6</v>
      </c>
      <c r="D11" s="14" t="s">
        <v>7</v>
      </c>
      <c r="E11" s="14"/>
      <c r="F11" s="14"/>
    </row>
    <row r="12" spans="2:18" ht="30.75" hidden="1" customHeight="1" outlineLevel="1">
      <c r="B12" s="4" t="s">
        <v>8</v>
      </c>
      <c r="C12" s="37"/>
      <c r="D12" s="201" t="s">
        <v>84</v>
      </c>
      <c r="E12" s="201"/>
      <c r="F12" s="14"/>
      <c r="J12" s="6"/>
    </row>
    <row r="13" spans="2:18" ht="36" customHeight="1" collapsed="1" thickBot="1">
      <c r="B13" s="187" t="s">
        <v>132</v>
      </c>
      <c r="C13" s="187"/>
      <c r="D13" s="187"/>
      <c r="E13" s="187"/>
      <c r="F13" s="187"/>
      <c r="G13" s="187"/>
      <c r="H13" s="187"/>
      <c r="I13" s="187"/>
      <c r="M13" s="6"/>
      <c r="N13" s="233" t="s">
        <v>133</v>
      </c>
      <c r="O13" s="233" t="s">
        <v>134</v>
      </c>
      <c r="P13" s="233" t="s">
        <v>135</v>
      </c>
      <c r="Q13" s="233" t="s">
        <v>136</v>
      </c>
    </row>
    <row r="14" spans="2:18" ht="34.5" customHeight="1">
      <c r="B14" s="188" t="s">
        <v>137</v>
      </c>
      <c r="C14" s="190" t="s">
        <v>138</v>
      </c>
      <c r="D14" s="190" t="s">
        <v>139</v>
      </c>
      <c r="E14" s="192" t="s">
        <v>140</v>
      </c>
      <c r="F14" s="194" t="s">
        <v>141</v>
      </c>
      <c r="G14" s="196" t="s">
        <v>142</v>
      </c>
      <c r="H14" s="197"/>
      <c r="I14" s="198" t="s">
        <v>163</v>
      </c>
      <c r="M14" s="6"/>
      <c r="N14" s="233"/>
      <c r="O14" s="233"/>
      <c r="P14" s="233"/>
      <c r="Q14" s="233"/>
    </row>
    <row r="15" spans="2:18" ht="39.75" customHeight="1" thickBot="1">
      <c r="B15" s="189"/>
      <c r="C15" s="191"/>
      <c r="D15" s="191"/>
      <c r="E15" s="193"/>
      <c r="F15" s="195"/>
      <c r="G15" s="48" t="s">
        <v>121</v>
      </c>
      <c r="H15" s="49" t="s">
        <v>122</v>
      </c>
      <c r="I15" s="199"/>
      <c r="N15" s="234">
        <v>30512.53</v>
      </c>
      <c r="O15" s="234">
        <v>34716.050000000003</v>
      </c>
      <c r="P15" s="234">
        <f>31741.14*0.96</f>
        <v>30471.4944</v>
      </c>
      <c r="Q15" s="234">
        <f>35493.53*0.96</f>
        <v>34073.788799999995</v>
      </c>
      <c r="R15" s="232">
        <f>(N15+O15)/(P15+Q15)*100</f>
        <v>101.05863165536474</v>
      </c>
    </row>
    <row r="16" spans="2:18" ht="53.25" customHeight="1">
      <c r="B16" s="110" t="s">
        <v>143</v>
      </c>
      <c r="C16" s="51" t="s">
        <v>144</v>
      </c>
      <c r="D16" s="52" t="s">
        <v>145</v>
      </c>
      <c r="E16" s="53">
        <v>1.01</v>
      </c>
      <c r="F16" s="54">
        <v>1.05</v>
      </c>
      <c r="G16" s="55">
        <f>($N$15/$N$16*E16)+($O$15/$O$16*F16)</f>
        <v>7764.7653126785881</v>
      </c>
      <c r="H16" s="56">
        <f>($P$15/$P$16*E16)+($Q$15/$Q$16*F16)</f>
        <v>7686.7901527633712</v>
      </c>
      <c r="I16" s="57">
        <f>H16-G16</f>
        <v>-77.975159915216864</v>
      </c>
      <c r="J16" s="171"/>
      <c r="K16" s="7"/>
      <c r="L16" s="7"/>
      <c r="M16" s="58"/>
      <c r="N16" s="235">
        <v>8.0500000000000007</v>
      </c>
      <c r="O16" s="234">
        <v>9.26</v>
      </c>
      <c r="P16" s="235">
        <v>8.0500000000000007</v>
      </c>
      <c r="Q16" s="234">
        <v>9.26</v>
      </c>
    </row>
    <row r="17" spans="2:17" ht="51.75">
      <c r="B17" s="31" t="s">
        <v>129</v>
      </c>
      <c r="C17" s="51" t="s">
        <v>144</v>
      </c>
      <c r="D17" s="52" t="s">
        <v>145</v>
      </c>
      <c r="E17" s="41">
        <v>1.1299999999999999</v>
      </c>
      <c r="F17" s="168">
        <v>1.17</v>
      </c>
      <c r="G17" s="55">
        <f t="shared" ref="G17:G27" si="0">($N$15/$N$16*E17)+($O$15/$O$16*F17)</f>
        <v>8669.4944976590687</v>
      </c>
      <c r="H17" s="56">
        <f t="shared" ref="H17:H21" si="1">($P$15/$P$16*E17)+($Q$15/$Q$16*F17)</f>
        <v>8582.5845876275416</v>
      </c>
      <c r="I17" s="57">
        <f t="shared" ref="I17:I27" si="2">H17-G17</f>
        <v>-86.909910031527033</v>
      </c>
      <c r="J17" s="30"/>
      <c r="K17" s="8"/>
      <c r="L17" s="8"/>
      <c r="M17" s="8"/>
      <c r="N17" s="236"/>
      <c r="O17" s="237"/>
      <c r="P17" s="237"/>
      <c r="Q17" s="237"/>
    </row>
    <row r="18" spans="2:17" ht="51.75" customHeight="1">
      <c r="B18" s="62" t="s">
        <v>123</v>
      </c>
      <c r="C18" s="51" t="s">
        <v>144</v>
      </c>
      <c r="D18" s="52" t="s">
        <v>145</v>
      </c>
      <c r="E18" s="41">
        <v>0.28000000000000003</v>
      </c>
      <c r="F18" s="168">
        <v>0.27</v>
      </c>
      <c r="G18" s="55">
        <f t="shared" si="0"/>
        <v>2073.5444301812377</v>
      </c>
      <c r="H18" s="56">
        <f t="shared" si="1"/>
        <v>2053.3902665189221</v>
      </c>
      <c r="I18" s="57">
        <f t="shared" si="2"/>
        <v>-20.154163662315568</v>
      </c>
      <c r="J18" s="10"/>
      <c r="M18" s="6"/>
      <c r="N18" s="234"/>
      <c r="O18" s="234"/>
      <c r="P18" s="234"/>
      <c r="Q18" s="234"/>
    </row>
    <row r="19" spans="2:17" ht="26.25">
      <c r="B19" s="32" t="s">
        <v>146</v>
      </c>
      <c r="C19" s="59" t="s">
        <v>147</v>
      </c>
      <c r="D19" s="52" t="s">
        <v>145</v>
      </c>
      <c r="E19" s="41">
        <v>0</v>
      </c>
      <c r="F19" s="168">
        <v>0</v>
      </c>
      <c r="G19" s="55">
        <f t="shared" si="0"/>
        <v>0</v>
      </c>
      <c r="H19" s="56">
        <f t="shared" si="1"/>
        <v>0</v>
      </c>
      <c r="I19" s="57">
        <f t="shared" si="2"/>
        <v>0</v>
      </c>
      <c r="J19" s="10"/>
      <c r="M19" s="6"/>
      <c r="N19" s="234"/>
      <c r="O19" s="234"/>
      <c r="P19" s="234"/>
      <c r="Q19" s="234"/>
    </row>
    <row r="20" spans="2:17" ht="51.75">
      <c r="B20" s="31" t="s">
        <v>124</v>
      </c>
      <c r="C20" s="51" t="s">
        <v>144</v>
      </c>
      <c r="D20" s="52" t="s">
        <v>145</v>
      </c>
      <c r="E20" s="41">
        <v>1.1399999999999999</v>
      </c>
      <c r="F20" s="168">
        <v>1.33</v>
      </c>
      <c r="G20" s="55">
        <f t="shared" si="0"/>
        <v>9307.2436180057157</v>
      </c>
      <c r="H20" s="56">
        <f t="shared" si="1"/>
        <v>9209.1853463284278</v>
      </c>
      <c r="I20" s="57">
        <f t="shared" si="2"/>
        <v>-98.058271677287848</v>
      </c>
      <c r="J20" s="10"/>
      <c r="N20" s="234"/>
      <c r="O20" s="234"/>
      <c r="P20" s="234"/>
      <c r="Q20" s="234"/>
    </row>
    <row r="21" spans="2:17" ht="146.25" customHeight="1">
      <c r="B21" s="31" t="s">
        <v>125</v>
      </c>
      <c r="C21" s="51" t="s">
        <v>148</v>
      </c>
      <c r="D21" s="52" t="s">
        <v>145</v>
      </c>
      <c r="E21" s="41">
        <v>3.27</v>
      </c>
      <c r="F21" s="168">
        <v>2.69</v>
      </c>
      <c r="G21" s="55">
        <f t="shared" si="0"/>
        <v>22479.430873871457</v>
      </c>
      <c r="H21" s="56">
        <f t="shared" si="1"/>
        <v>22276.186956528174</v>
      </c>
      <c r="I21" s="57">
        <f t="shared" si="2"/>
        <v>-203.2439173432831</v>
      </c>
      <c r="J21" s="30"/>
      <c r="K21" s="8"/>
      <c r="L21" s="8"/>
      <c r="M21" s="60"/>
      <c r="N21" s="237"/>
      <c r="O21" s="237"/>
      <c r="P21" s="237"/>
      <c r="Q21" s="237"/>
    </row>
    <row r="22" spans="2:17" ht="28.5" customHeight="1">
      <c r="B22" s="61" t="s">
        <v>149</v>
      </c>
      <c r="C22" s="51" t="s">
        <v>147</v>
      </c>
      <c r="D22" s="52" t="s">
        <v>145</v>
      </c>
      <c r="E22" s="41">
        <v>1.94</v>
      </c>
      <c r="F22" s="168">
        <v>2</v>
      </c>
      <c r="G22" s="55">
        <v>14454.92</v>
      </c>
      <c r="H22" s="40">
        <v>14669.51</v>
      </c>
      <c r="I22" s="57">
        <f t="shared" si="2"/>
        <v>214.59000000000015</v>
      </c>
      <c r="J22" s="10"/>
      <c r="N22" s="234"/>
      <c r="O22" s="234"/>
      <c r="P22" s="234"/>
      <c r="Q22" s="234"/>
    </row>
    <row r="23" spans="2:17" ht="107.25" customHeight="1">
      <c r="B23" s="31" t="s">
        <v>150</v>
      </c>
      <c r="C23" s="51" t="s">
        <v>144</v>
      </c>
      <c r="D23" s="52" t="s">
        <v>145</v>
      </c>
      <c r="E23" s="41">
        <v>0.22</v>
      </c>
      <c r="F23" s="168">
        <v>0.21</v>
      </c>
      <c r="G23" s="55">
        <f t="shared" si="0"/>
        <v>1621.1798376909969</v>
      </c>
      <c r="H23" s="56">
        <f>($P$15/$P$16*E23)+($Q$15/$Q$16*F23)</f>
        <v>1605.4930490868355</v>
      </c>
      <c r="I23" s="57">
        <f t="shared" si="2"/>
        <v>-15.686788604161393</v>
      </c>
      <c r="J23" s="10"/>
      <c r="N23" s="234"/>
      <c r="O23" s="234"/>
      <c r="P23" s="234"/>
      <c r="Q23" s="234"/>
    </row>
    <row r="24" spans="2:17" ht="48">
      <c r="B24" s="62" t="s">
        <v>151</v>
      </c>
      <c r="C24" s="51" t="s">
        <v>144</v>
      </c>
      <c r="D24" s="52" t="s">
        <v>145</v>
      </c>
      <c r="E24" s="41">
        <v>4.1100000000000003</v>
      </c>
      <c r="F24" s="168">
        <v>4.1100000000000003</v>
      </c>
      <c r="G24" s="55">
        <v>31156.89</v>
      </c>
      <c r="H24" s="40">
        <v>16385</v>
      </c>
      <c r="I24" s="57">
        <f t="shared" si="2"/>
        <v>-14771.89</v>
      </c>
      <c r="J24" s="10"/>
      <c r="M24" s="6"/>
      <c r="N24" s="234"/>
      <c r="O24" s="234"/>
      <c r="P24" s="234"/>
      <c r="Q24" s="234"/>
    </row>
    <row r="25" spans="2:17" ht="64.5">
      <c r="B25" s="31" t="s">
        <v>152</v>
      </c>
      <c r="C25" s="59" t="s">
        <v>148</v>
      </c>
      <c r="D25" s="52" t="s">
        <v>145</v>
      </c>
      <c r="E25" s="41">
        <v>0.71</v>
      </c>
      <c r="F25" s="168">
        <v>1.44</v>
      </c>
      <c r="G25" s="55">
        <f t="shared" si="0"/>
        <v>8089.775449579437</v>
      </c>
      <c r="H25" s="56">
        <f t="shared" ref="H25:H27" si="3">($P$15/$P$16*E25)+($Q$15/$Q$16*F25)</f>
        <v>7986.279688929073</v>
      </c>
      <c r="I25" s="57">
        <f t="shared" si="2"/>
        <v>-103.49576065036399</v>
      </c>
      <c r="J25" s="10"/>
      <c r="K25" s="172"/>
      <c r="L25" s="172"/>
      <c r="M25" s="6"/>
      <c r="N25" s="234"/>
      <c r="O25" s="234"/>
      <c r="P25" s="234"/>
      <c r="Q25" s="234"/>
    </row>
    <row r="26" spans="2:17" ht="64.5">
      <c r="B26" s="31" t="s">
        <v>126</v>
      </c>
      <c r="C26" s="59" t="s">
        <v>148</v>
      </c>
      <c r="D26" s="52" t="s">
        <v>145</v>
      </c>
      <c r="E26" s="41">
        <v>0.25</v>
      </c>
      <c r="F26" s="168">
        <v>0.83</v>
      </c>
      <c r="G26" s="55">
        <f t="shared" si="0"/>
        <v>4059.2918855559878</v>
      </c>
      <c r="H26" s="56">
        <f t="shared" si="3"/>
        <v>4000.4497994875437</v>
      </c>
      <c r="I26" s="57">
        <f t="shared" si="2"/>
        <v>-58.842086068444132</v>
      </c>
      <c r="J26" s="10"/>
      <c r="K26" s="64"/>
      <c r="L26" s="64"/>
      <c r="M26" s="6"/>
      <c r="N26" s="238">
        <f>K26-L26</f>
        <v>0</v>
      </c>
      <c r="O26" s="238"/>
      <c r="P26" s="234"/>
      <c r="Q26" s="234"/>
    </row>
    <row r="27" spans="2:17" ht="16.5" thickBot="1">
      <c r="B27" s="78" t="s">
        <v>127</v>
      </c>
      <c r="C27" s="79" t="s">
        <v>148</v>
      </c>
      <c r="D27" s="80" t="s">
        <v>145</v>
      </c>
      <c r="E27" s="70">
        <v>0.04</v>
      </c>
      <c r="F27" s="81">
        <v>0.27</v>
      </c>
      <c r="G27" s="82">
        <f t="shared" si="0"/>
        <v>1163.8540947775111</v>
      </c>
      <c r="H27" s="83">
        <f t="shared" si="3"/>
        <v>1144.9233527301021</v>
      </c>
      <c r="I27" s="84">
        <f t="shared" si="2"/>
        <v>-18.930742047409012</v>
      </c>
      <c r="J27" s="10"/>
      <c r="N27" s="234"/>
      <c r="O27" s="234"/>
      <c r="P27" s="234"/>
      <c r="Q27" s="234"/>
    </row>
    <row r="28" spans="2:17" ht="16.5" thickBot="1">
      <c r="B28" s="85" t="s">
        <v>128</v>
      </c>
      <c r="C28" s="86"/>
      <c r="D28" s="86"/>
      <c r="E28" s="100">
        <f>SUM(E16:E27)</f>
        <v>14.100000000000001</v>
      </c>
      <c r="F28" s="87">
        <f>SUM(F16:F27)</f>
        <v>15.370000000000001</v>
      </c>
      <c r="G28" s="88">
        <f>SUM(G16:G27)</f>
        <v>110840.39</v>
      </c>
      <c r="H28" s="89">
        <f>SUM(H16:H27)</f>
        <v>95599.793199999986</v>
      </c>
      <c r="I28" s="90">
        <f>H28-G28</f>
        <v>-15240.596800000014</v>
      </c>
      <c r="J28" s="10"/>
      <c r="N28" s="234"/>
      <c r="O28" s="234"/>
      <c r="P28" s="234"/>
      <c r="Q28" s="234"/>
    </row>
    <row r="29" spans="2:17">
      <c r="B29" s="6"/>
      <c r="C29" s="6"/>
      <c r="D29" s="6"/>
      <c r="E29" s="29"/>
      <c r="F29" s="29"/>
      <c r="G29" s="29"/>
      <c r="H29" s="29"/>
      <c r="I29" s="2"/>
      <c r="N29" s="234"/>
      <c r="O29" s="234"/>
      <c r="P29" s="234"/>
      <c r="Q29" s="234"/>
    </row>
    <row r="30" spans="2:17" ht="16.5" thickBot="1">
      <c r="B30" s="221" t="s">
        <v>153</v>
      </c>
      <c r="C30" s="221"/>
      <c r="D30" s="221"/>
      <c r="E30" s="221"/>
      <c r="F30" s="221"/>
      <c r="G30" s="221"/>
      <c r="H30" s="221"/>
      <c r="I30" s="221"/>
      <c r="J30" s="74"/>
      <c r="K30" s="74"/>
      <c r="N30" s="234"/>
      <c r="O30" s="234"/>
      <c r="P30" s="234"/>
      <c r="Q30" s="234"/>
    </row>
    <row r="31" spans="2:17" ht="44.25" customHeight="1">
      <c r="B31" s="20"/>
      <c r="C31" s="65"/>
      <c r="D31" s="208" t="s">
        <v>154</v>
      </c>
      <c r="E31" s="209"/>
      <c r="F31" s="210" t="s">
        <v>10</v>
      </c>
      <c r="G31" s="211"/>
      <c r="H31" s="210" t="s">
        <v>11</v>
      </c>
      <c r="I31" s="212"/>
      <c r="J31" s="111"/>
      <c r="K31" s="112"/>
      <c r="L31" s="24"/>
      <c r="M31" s="9"/>
      <c r="N31" s="238"/>
      <c r="O31" s="238"/>
      <c r="P31" s="238"/>
      <c r="Q31" s="238"/>
    </row>
    <row r="32" spans="2:17">
      <c r="B32" s="21" t="s">
        <v>12</v>
      </c>
      <c r="C32" s="67"/>
      <c r="D32" s="203">
        <f>F32+H32</f>
        <v>110840.39</v>
      </c>
      <c r="E32" s="204"/>
      <c r="F32" s="203">
        <f>30512.53+34716.05+14454.92</f>
        <v>79683.5</v>
      </c>
      <c r="G32" s="204"/>
      <c r="H32" s="203">
        <f>G24</f>
        <v>31156.89</v>
      </c>
      <c r="I32" s="213"/>
      <c r="J32" s="113"/>
      <c r="K32" s="114"/>
      <c r="L32" s="10"/>
      <c r="M32" s="10"/>
      <c r="N32" s="234"/>
      <c r="O32" s="234"/>
      <c r="P32" s="234"/>
      <c r="Q32" s="234"/>
    </row>
    <row r="33" spans="2:17">
      <c r="B33" s="21" t="s">
        <v>13</v>
      </c>
      <c r="C33" s="67"/>
      <c r="D33" s="203">
        <f>F33+H33</f>
        <v>108653.79</v>
      </c>
      <c r="E33" s="204"/>
      <c r="F33" s="203">
        <f>29906.19+34026.18+14183.67</f>
        <v>78116.039999999994</v>
      </c>
      <c r="G33" s="204"/>
      <c r="H33" s="203">
        <v>30537.75</v>
      </c>
      <c r="I33" s="213"/>
      <c r="J33" s="113"/>
      <c r="K33" s="114"/>
      <c r="L33" s="25"/>
      <c r="M33" s="10"/>
      <c r="N33" s="234"/>
      <c r="O33" s="234"/>
      <c r="P33" s="234"/>
      <c r="Q33" s="234"/>
    </row>
    <row r="34" spans="2:17" ht="16.5" thickBot="1">
      <c r="B34" s="22" t="s">
        <v>114</v>
      </c>
      <c r="C34" s="69"/>
      <c r="D34" s="205">
        <f>F34+H34</f>
        <v>95599.793199999986</v>
      </c>
      <c r="E34" s="206"/>
      <c r="F34" s="205">
        <f>H16+H17+H18+H19+H20+H21+H22+H23+H25+H26+H27</f>
        <v>79214.793199999986</v>
      </c>
      <c r="G34" s="206"/>
      <c r="H34" s="205">
        <f>H24</f>
        <v>16385</v>
      </c>
      <c r="I34" s="214"/>
      <c r="J34" s="113"/>
      <c r="K34" s="114"/>
      <c r="L34" s="10"/>
      <c r="M34" s="10"/>
      <c r="N34" s="234"/>
      <c r="O34" s="234"/>
      <c r="P34" s="234"/>
      <c r="Q34" s="234"/>
    </row>
    <row r="35" spans="2:17" ht="27" thickBot="1">
      <c r="B35" s="23" t="s">
        <v>115</v>
      </c>
      <c r="C35" s="72"/>
      <c r="D35" s="184">
        <f>F35+H35</f>
        <v>13053.996800000008</v>
      </c>
      <c r="E35" s="185"/>
      <c r="F35" s="182">
        <f>F33-F34</f>
        <v>-1098.7531999999919</v>
      </c>
      <c r="G35" s="183"/>
      <c r="H35" s="182">
        <f>H33-H34</f>
        <v>14152.75</v>
      </c>
      <c r="I35" s="202"/>
      <c r="J35" s="113"/>
      <c r="K35" s="114"/>
      <c r="L35" s="10"/>
      <c r="M35" s="10"/>
      <c r="N35" s="234"/>
      <c r="O35" s="234"/>
      <c r="P35" s="234"/>
      <c r="Q35" s="234"/>
    </row>
    <row r="36" spans="2:17" ht="29.25" customHeight="1">
      <c r="B36" s="164" t="s">
        <v>116</v>
      </c>
      <c r="C36" s="164"/>
      <c r="D36" s="164"/>
      <c r="E36" s="230" t="s">
        <v>117</v>
      </c>
      <c r="F36" s="230"/>
      <c r="G36" s="178" t="s">
        <v>14</v>
      </c>
      <c r="H36" s="178"/>
      <c r="I36" s="178"/>
      <c r="J36" s="178"/>
      <c r="K36" s="8"/>
      <c r="L36" s="8"/>
      <c r="M36" s="8"/>
      <c r="N36" s="237"/>
      <c r="O36" s="237"/>
      <c r="P36" s="237"/>
      <c r="Q36" s="237"/>
    </row>
    <row r="37" spans="2:17" ht="9.75" customHeight="1">
      <c r="B37" s="26"/>
      <c r="C37" s="26"/>
      <c r="D37" s="26"/>
      <c r="E37" s="179" t="s">
        <v>15</v>
      </c>
      <c r="F37" s="179"/>
      <c r="G37" s="181"/>
      <c r="H37" s="181"/>
      <c r="I37" s="181"/>
      <c r="J37" s="181"/>
      <c r="K37" s="8"/>
      <c r="L37" s="8"/>
      <c r="M37" s="8"/>
      <c r="N37" s="237"/>
      <c r="O37" s="237"/>
      <c r="P37" s="237"/>
      <c r="Q37" s="237"/>
    </row>
    <row r="38" spans="2:17">
      <c r="B38" s="26" t="s">
        <v>118</v>
      </c>
      <c r="C38" s="26"/>
      <c r="D38" s="26"/>
      <c r="E38" s="177" t="s">
        <v>117</v>
      </c>
      <c r="F38" s="177"/>
      <c r="G38" s="178" t="s">
        <v>131</v>
      </c>
      <c r="H38" s="178"/>
      <c r="I38" s="178"/>
      <c r="J38" s="178"/>
      <c r="K38" s="8"/>
      <c r="L38" s="8"/>
      <c r="M38" s="8"/>
      <c r="N38" s="237"/>
      <c r="O38" s="237"/>
      <c r="P38" s="237"/>
      <c r="Q38" s="237"/>
    </row>
    <row r="39" spans="2:17" ht="6.75" customHeight="1">
      <c r="B39" s="26"/>
      <c r="C39" s="26"/>
      <c r="D39" s="26"/>
      <c r="E39" s="220" t="s">
        <v>15</v>
      </c>
      <c r="F39" s="220"/>
      <c r="G39" s="178"/>
      <c r="H39" s="178"/>
      <c r="I39" s="178"/>
      <c r="J39" s="178"/>
      <c r="N39" s="234"/>
      <c r="O39" s="234"/>
      <c r="P39" s="234"/>
      <c r="Q39" s="234"/>
    </row>
    <row r="40" spans="2:17">
      <c r="B40" s="26" t="s">
        <v>119</v>
      </c>
      <c r="C40" s="26"/>
      <c r="D40" s="26"/>
      <c r="E40" s="177" t="s">
        <v>117</v>
      </c>
      <c r="F40" s="177"/>
      <c r="G40" s="178" t="s">
        <v>157</v>
      </c>
      <c r="H40" s="178"/>
      <c r="I40" s="178"/>
      <c r="J40" s="178"/>
      <c r="N40" s="234"/>
      <c r="O40" s="234"/>
      <c r="P40" s="234"/>
      <c r="Q40" s="234"/>
    </row>
    <row r="41" spans="2:17" ht="9.75" customHeight="1">
      <c r="B41" s="27"/>
      <c r="C41" s="27"/>
      <c r="D41" s="27"/>
      <c r="E41" s="220" t="s">
        <v>15</v>
      </c>
      <c r="F41" s="220"/>
      <c r="G41" s="170"/>
      <c r="H41" s="28"/>
      <c r="I41" s="170"/>
      <c r="J41" s="28"/>
      <c r="N41" s="234"/>
      <c r="O41" s="234"/>
      <c r="P41" s="234"/>
      <c r="Q41" s="234"/>
    </row>
    <row r="42" spans="2:17">
      <c r="B42" s="26" t="s">
        <v>120</v>
      </c>
      <c r="C42" s="26"/>
      <c r="D42" s="26"/>
      <c r="E42" s="181" t="s">
        <v>117</v>
      </c>
      <c r="F42" s="181"/>
      <c r="G42" s="178" t="s">
        <v>93</v>
      </c>
      <c r="H42" s="178"/>
      <c r="I42" s="178"/>
      <c r="J42" s="178"/>
      <c r="N42" s="234"/>
      <c r="O42" s="234"/>
      <c r="P42" s="234"/>
      <c r="Q42" s="234"/>
    </row>
    <row r="43" spans="2:17" ht="7.5" customHeight="1">
      <c r="C43" s="1"/>
      <c r="D43" s="1"/>
      <c r="E43" s="220" t="s">
        <v>15</v>
      </c>
      <c r="F43" s="220"/>
      <c r="G43" s="220"/>
      <c r="H43" s="220"/>
      <c r="I43" s="2"/>
      <c r="J43" s="2"/>
      <c r="N43" s="234"/>
      <c r="O43" s="234"/>
      <c r="P43" s="234"/>
      <c r="Q43" s="234"/>
    </row>
  </sheetData>
  <mergeCells count="48">
    <mergeCell ref="B30:I30"/>
    <mergeCell ref="D31:E31"/>
    <mergeCell ref="F31:G31"/>
    <mergeCell ref="H31:I31"/>
    <mergeCell ref="D32:E32"/>
    <mergeCell ref="F32:G32"/>
    <mergeCell ref="B13:I13"/>
    <mergeCell ref="B14:B15"/>
    <mergeCell ref="C14:C15"/>
    <mergeCell ref="D14:D15"/>
    <mergeCell ref="E14:E15"/>
    <mergeCell ref="F14:F15"/>
    <mergeCell ref="G14:H14"/>
    <mergeCell ref="I14:I15"/>
    <mergeCell ref="B2:I3"/>
    <mergeCell ref="D5:F5"/>
    <mergeCell ref="D12:E12"/>
    <mergeCell ref="H32:I32"/>
    <mergeCell ref="D33:E33"/>
    <mergeCell ref="F33:G33"/>
    <mergeCell ref="H33:I33"/>
    <mergeCell ref="D34:E34"/>
    <mergeCell ref="F34:G34"/>
    <mergeCell ref="H34:I34"/>
    <mergeCell ref="H35:I35"/>
    <mergeCell ref="E36:F36"/>
    <mergeCell ref="G36:H36"/>
    <mergeCell ref="I36:J36"/>
    <mergeCell ref="E37:F37"/>
    <mergeCell ref="G37:H37"/>
    <mergeCell ref="I37:J37"/>
    <mergeCell ref="D35:E35"/>
    <mergeCell ref="F35:G35"/>
    <mergeCell ref="E38:F38"/>
    <mergeCell ref="G38:H38"/>
    <mergeCell ref="I38:J38"/>
    <mergeCell ref="E39:F39"/>
    <mergeCell ref="G39:H39"/>
    <mergeCell ref="I39:J39"/>
    <mergeCell ref="E43:F43"/>
    <mergeCell ref="G43:H43"/>
    <mergeCell ref="E40:F40"/>
    <mergeCell ref="G40:H40"/>
    <mergeCell ref="I40:J40"/>
    <mergeCell ref="E41:F41"/>
    <mergeCell ref="E42:F42"/>
    <mergeCell ref="G42:H42"/>
    <mergeCell ref="I42:J42"/>
  </mergeCells>
  <printOptions horizontalCentered="1"/>
  <pageMargins left="0.15748031496062992" right="0.15748031496062992" top="0.15748031496062992" bottom="0.15748031496062992" header="0.15748031496062992" footer="0.15748031496062992"/>
  <pageSetup paperSize="9" scale="41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43"/>
  <sheetViews>
    <sheetView zoomScale="110" zoomScaleNormal="110" workbookViewId="0">
      <selection activeCell="B17" sqref="B17"/>
    </sheetView>
  </sheetViews>
  <sheetFormatPr defaultColWidth="9.140625" defaultRowHeight="15.75" outlineLevelRow="1"/>
  <cols>
    <col min="1" max="1" width="2.85546875" style="1" customWidth="1"/>
    <col min="2" max="2" width="55.7109375" style="1" customWidth="1"/>
    <col min="3" max="3" width="12.7109375" style="2" customWidth="1"/>
    <col min="4" max="4" width="9" style="2" customWidth="1"/>
    <col min="5" max="5" width="10.85546875" style="2" customWidth="1"/>
    <col min="6" max="6" width="11.140625" style="2" customWidth="1"/>
    <col min="7" max="7" width="9.85546875" style="1" customWidth="1"/>
    <col min="8" max="8" width="10.42578125" style="1" customWidth="1"/>
    <col min="9" max="9" width="11.85546875" style="1" customWidth="1"/>
    <col min="10" max="10" width="12.28515625" style="1" customWidth="1"/>
    <col min="11" max="13" width="9.140625" style="1"/>
    <col min="14" max="14" width="13.7109375" style="232" customWidth="1"/>
    <col min="15" max="15" width="12.7109375" style="232" customWidth="1"/>
    <col min="16" max="16" width="12.28515625" style="232" customWidth="1"/>
    <col min="17" max="17" width="14.28515625" style="232" customWidth="1"/>
    <col min="18" max="19" width="9.140625" style="232"/>
    <col min="20" max="16384" width="9.140625" style="1"/>
  </cols>
  <sheetData>
    <row r="1" spans="1:18">
      <c r="B1" s="137"/>
      <c r="C1" s="137"/>
      <c r="D1" s="137"/>
      <c r="E1" s="137"/>
      <c r="F1" s="137"/>
      <c r="G1" s="137"/>
      <c r="H1" s="137"/>
      <c r="I1" s="137"/>
    </row>
    <row r="2" spans="1:18" ht="19.5" customHeight="1">
      <c r="A2" s="18"/>
      <c r="B2" s="186" t="s">
        <v>161</v>
      </c>
      <c r="C2" s="186"/>
      <c r="D2" s="186"/>
      <c r="E2" s="186"/>
      <c r="F2" s="186"/>
      <c r="G2" s="186"/>
      <c r="H2" s="186"/>
      <c r="I2" s="186"/>
    </row>
    <row r="3" spans="1:18" ht="20.25" customHeight="1">
      <c r="A3" s="18"/>
      <c r="B3" s="186"/>
      <c r="C3" s="186"/>
      <c r="D3" s="186"/>
      <c r="E3" s="186"/>
      <c r="F3" s="186"/>
      <c r="G3" s="186"/>
      <c r="H3" s="186"/>
      <c r="I3" s="186"/>
    </row>
    <row r="4" spans="1:18" ht="16.5" customHeight="1"/>
    <row r="5" spans="1:18">
      <c r="B5" s="1" t="s">
        <v>0</v>
      </c>
      <c r="D5" s="200" t="s">
        <v>85</v>
      </c>
      <c r="E5" s="200"/>
      <c r="F5" s="200"/>
    </row>
    <row r="6" spans="1:18">
      <c r="B6" s="1" t="s">
        <v>1</v>
      </c>
      <c r="D6" s="14">
        <v>1961</v>
      </c>
      <c r="E6" s="14"/>
      <c r="F6" s="14"/>
    </row>
    <row r="7" spans="1:18" hidden="1" outlineLevel="1">
      <c r="B7" s="1" t="s">
        <v>2</v>
      </c>
      <c r="D7" s="14">
        <v>2</v>
      </c>
      <c r="E7" s="14"/>
      <c r="F7" s="14"/>
    </row>
    <row r="8" spans="1:18" hidden="1" outlineLevel="1">
      <c r="B8" s="1" t="s">
        <v>3</v>
      </c>
      <c r="D8" s="14">
        <v>16</v>
      </c>
      <c r="E8" s="14"/>
      <c r="F8" s="14"/>
    </row>
    <row r="9" spans="1:18" ht="30.75" hidden="1" customHeight="1" outlineLevel="1">
      <c r="B9" s="4" t="s">
        <v>4</v>
      </c>
      <c r="C9" s="5"/>
      <c r="D9" s="14" t="s">
        <v>86</v>
      </c>
      <c r="E9" s="14"/>
      <c r="F9" s="14"/>
    </row>
    <row r="10" spans="1:18" collapsed="1">
      <c r="B10" s="1" t="s">
        <v>5</v>
      </c>
      <c r="D10" s="19" t="s">
        <v>113</v>
      </c>
      <c r="E10" s="14"/>
      <c r="F10" s="14"/>
      <c r="J10" s="6"/>
    </row>
    <row r="11" spans="1:18" hidden="1" outlineLevel="1">
      <c r="B11" s="1" t="s">
        <v>6</v>
      </c>
      <c r="D11" s="14" t="s">
        <v>7</v>
      </c>
      <c r="E11" s="14"/>
      <c r="F11" s="14"/>
    </row>
    <row r="12" spans="1:18" ht="30.75" hidden="1" customHeight="1" outlineLevel="1">
      <c r="B12" s="4" t="s">
        <v>8</v>
      </c>
      <c r="C12" s="5"/>
      <c r="D12" s="201" t="s">
        <v>87</v>
      </c>
      <c r="E12" s="201"/>
      <c r="F12" s="14"/>
      <c r="J12" s="6"/>
    </row>
    <row r="13" spans="1:18" ht="36" customHeight="1" collapsed="1" thickBot="1">
      <c r="B13" s="187" t="s">
        <v>132</v>
      </c>
      <c r="C13" s="187"/>
      <c r="D13" s="187"/>
      <c r="E13" s="187"/>
      <c r="F13" s="187"/>
      <c r="G13" s="187"/>
      <c r="H13" s="187"/>
      <c r="I13" s="187"/>
      <c r="M13" s="6"/>
      <c r="N13" s="233" t="s">
        <v>133</v>
      </c>
      <c r="O13" s="233" t="s">
        <v>134</v>
      </c>
      <c r="P13" s="233" t="s">
        <v>135</v>
      </c>
      <c r="Q13" s="233" t="s">
        <v>136</v>
      </c>
    </row>
    <row r="14" spans="1:18" ht="34.5" customHeight="1">
      <c r="B14" s="188" t="s">
        <v>137</v>
      </c>
      <c r="C14" s="190" t="s">
        <v>138</v>
      </c>
      <c r="D14" s="190" t="s">
        <v>139</v>
      </c>
      <c r="E14" s="192" t="s">
        <v>140</v>
      </c>
      <c r="F14" s="194" t="s">
        <v>141</v>
      </c>
      <c r="G14" s="196" t="s">
        <v>142</v>
      </c>
      <c r="H14" s="197"/>
      <c r="I14" s="198" t="s">
        <v>163</v>
      </c>
      <c r="M14" s="6"/>
      <c r="N14" s="233"/>
      <c r="O14" s="233"/>
      <c r="P14" s="233"/>
      <c r="Q14" s="233"/>
    </row>
    <row r="15" spans="1:18" ht="39.75" customHeight="1" thickBot="1">
      <c r="B15" s="189"/>
      <c r="C15" s="191"/>
      <c r="D15" s="191"/>
      <c r="E15" s="193"/>
      <c r="F15" s="195"/>
      <c r="G15" s="48" t="s">
        <v>121</v>
      </c>
      <c r="H15" s="49" t="s">
        <v>122</v>
      </c>
      <c r="I15" s="199"/>
      <c r="N15" s="234">
        <v>29959.4</v>
      </c>
      <c r="O15" s="234">
        <v>34086.730000000003</v>
      </c>
      <c r="P15" s="234">
        <f>31741.14*0.95</f>
        <v>30154.082999999999</v>
      </c>
      <c r="Q15" s="234">
        <f>35493.53*0.95</f>
        <v>33718.853499999997</v>
      </c>
      <c r="R15" s="232">
        <f>(N15+O15)/(P15+Q15)*100</f>
        <v>100.27115318238108</v>
      </c>
    </row>
    <row r="16" spans="1:18" ht="53.25" customHeight="1">
      <c r="B16" s="110" t="s">
        <v>143</v>
      </c>
      <c r="C16" s="51" t="s">
        <v>144</v>
      </c>
      <c r="D16" s="52" t="s">
        <v>145</v>
      </c>
      <c r="E16" s="53">
        <v>1.01</v>
      </c>
      <c r="F16" s="54">
        <v>1.05</v>
      </c>
      <c r="G16" s="55">
        <f>($N$15/$N$16*E16)+($O$15/$O$16*F16)</f>
        <v>7624.0072141582714</v>
      </c>
      <c r="H16" s="56">
        <f>($P$15/$P$16*E16)+($Q$15/$Q$16*F16)</f>
        <v>7606.7194220054189</v>
      </c>
      <c r="I16" s="57">
        <f>H16-G16</f>
        <v>-17.287792152852489</v>
      </c>
      <c r="J16" s="171"/>
      <c r="K16" s="7"/>
      <c r="L16" s="7"/>
      <c r="M16" s="58"/>
      <c r="N16" s="235">
        <v>8.0500000000000007</v>
      </c>
      <c r="O16" s="234">
        <v>9.26</v>
      </c>
      <c r="P16" s="235">
        <v>8.0500000000000007</v>
      </c>
      <c r="Q16" s="234">
        <v>9.26</v>
      </c>
    </row>
    <row r="17" spans="2:17" ht="51.75">
      <c r="B17" s="31" t="s">
        <v>129</v>
      </c>
      <c r="C17" s="51" t="s">
        <v>144</v>
      </c>
      <c r="D17" s="52" t="s">
        <v>145</v>
      </c>
      <c r="E17" s="41">
        <v>1.1299999999999999</v>
      </c>
      <c r="F17" s="168">
        <v>1.17</v>
      </c>
      <c r="G17" s="55">
        <f t="shared" ref="G17:G27" si="0">($N$15/$N$16*E17)+($O$15/$O$16*F17)</f>
        <v>8512.3356482164654</v>
      </c>
      <c r="H17" s="56">
        <f t="shared" ref="H17:H21" si="1">($P$15/$P$16*E17)+($Q$15/$Q$16*F17)</f>
        <v>8493.1826648397564</v>
      </c>
      <c r="I17" s="57">
        <f t="shared" ref="I17:I27" si="2">H17-G17</f>
        <v>-19.152983376709017</v>
      </c>
      <c r="J17" s="30"/>
      <c r="K17" s="8"/>
      <c r="L17" s="8"/>
      <c r="M17" s="8"/>
      <c r="N17" s="236"/>
      <c r="O17" s="237"/>
      <c r="P17" s="237"/>
      <c r="Q17" s="237"/>
    </row>
    <row r="18" spans="2:17" ht="51.75" customHeight="1">
      <c r="B18" s="62" t="s">
        <v>123</v>
      </c>
      <c r="C18" s="51" t="s">
        <v>144</v>
      </c>
      <c r="D18" s="52" t="s">
        <v>145</v>
      </c>
      <c r="E18" s="41">
        <v>0.28000000000000003</v>
      </c>
      <c r="F18" s="168">
        <v>0.27</v>
      </c>
      <c r="G18" s="55">
        <f t="shared" si="0"/>
        <v>2035.9556225936708</v>
      </c>
      <c r="H18" s="56">
        <f t="shared" si="1"/>
        <v>2032.0007845760165</v>
      </c>
      <c r="I18" s="57">
        <f t="shared" si="2"/>
        <v>-3.9548380176543105</v>
      </c>
      <c r="J18" s="10"/>
      <c r="M18" s="6"/>
      <c r="N18" s="234"/>
      <c r="O18" s="234"/>
      <c r="P18" s="234"/>
      <c r="Q18" s="234"/>
    </row>
    <row r="19" spans="2:17" ht="26.25">
      <c r="B19" s="32" t="s">
        <v>146</v>
      </c>
      <c r="C19" s="59" t="s">
        <v>147</v>
      </c>
      <c r="D19" s="52" t="s">
        <v>145</v>
      </c>
      <c r="E19" s="41">
        <v>0</v>
      </c>
      <c r="F19" s="168">
        <v>0</v>
      </c>
      <c r="G19" s="55">
        <f t="shared" si="0"/>
        <v>0</v>
      </c>
      <c r="H19" s="56">
        <f t="shared" si="1"/>
        <v>0</v>
      </c>
      <c r="I19" s="57">
        <f t="shared" si="2"/>
        <v>0</v>
      </c>
      <c r="J19" s="10"/>
      <c r="M19" s="6"/>
      <c r="N19" s="234"/>
      <c r="O19" s="234"/>
      <c r="P19" s="234"/>
      <c r="Q19" s="234"/>
    </row>
    <row r="20" spans="2:17" ht="51.75">
      <c r="B20" s="31" t="s">
        <v>124</v>
      </c>
      <c r="C20" s="51" t="s">
        <v>144</v>
      </c>
      <c r="D20" s="52" t="s">
        <v>145</v>
      </c>
      <c r="E20" s="41">
        <v>1.1399999999999999</v>
      </c>
      <c r="F20" s="168">
        <v>1.33</v>
      </c>
      <c r="G20" s="55">
        <f t="shared" si="0"/>
        <v>9138.5238708530651</v>
      </c>
      <c r="H20" s="56">
        <f t="shared" si="1"/>
        <v>9113.2563323041722</v>
      </c>
      <c r="I20" s="57">
        <f t="shared" si="2"/>
        <v>-25.267538548892844</v>
      </c>
      <c r="J20" s="10"/>
      <c r="N20" s="234"/>
      <c r="O20" s="234"/>
      <c r="P20" s="234"/>
      <c r="Q20" s="234"/>
    </row>
    <row r="21" spans="2:17" ht="146.25" customHeight="1">
      <c r="B21" s="31" t="s">
        <v>125</v>
      </c>
      <c r="C21" s="51" t="s">
        <v>148</v>
      </c>
      <c r="D21" s="52" t="s">
        <v>145</v>
      </c>
      <c r="E21" s="41">
        <v>3.27</v>
      </c>
      <c r="F21" s="168">
        <v>2.69</v>
      </c>
      <c r="G21" s="55">
        <f t="shared" si="0"/>
        <v>22071.927862643039</v>
      </c>
      <c r="H21" s="56">
        <f t="shared" si="1"/>
        <v>22044.143342397678</v>
      </c>
      <c r="I21" s="57">
        <f t="shared" si="2"/>
        <v>-27.784520245360909</v>
      </c>
      <c r="J21" s="30"/>
      <c r="K21" s="8"/>
      <c r="L21" s="8"/>
      <c r="M21" s="60"/>
      <c r="N21" s="237"/>
      <c r="O21" s="237"/>
      <c r="P21" s="237"/>
      <c r="Q21" s="237"/>
    </row>
    <row r="22" spans="2:17" ht="28.5" customHeight="1">
      <c r="B22" s="61" t="s">
        <v>149</v>
      </c>
      <c r="C22" s="51" t="s">
        <v>147</v>
      </c>
      <c r="D22" s="52" t="s">
        <v>145</v>
      </c>
      <c r="E22" s="41">
        <v>1.94</v>
      </c>
      <c r="F22" s="168">
        <v>2</v>
      </c>
      <c r="G22" s="55">
        <v>14146.62</v>
      </c>
      <c r="H22" s="40">
        <v>14359.93</v>
      </c>
      <c r="I22" s="57">
        <f t="shared" si="2"/>
        <v>213.30999999999949</v>
      </c>
      <c r="J22" s="10"/>
      <c r="N22" s="234"/>
      <c r="O22" s="234"/>
      <c r="P22" s="234"/>
      <c r="Q22" s="234"/>
    </row>
    <row r="23" spans="2:17" ht="107.25" customHeight="1">
      <c r="B23" s="31" t="s">
        <v>150</v>
      </c>
      <c r="C23" s="51" t="s">
        <v>144</v>
      </c>
      <c r="D23" s="52" t="s">
        <v>145</v>
      </c>
      <c r="E23" s="41">
        <v>0.22</v>
      </c>
      <c r="F23" s="168">
        <v>0.21</v>
      </c>
      <c r="G23" s="55">
        <f t="shared" si="0"/>
        <v>1591.7914055645733</v>
      </c>
      <c r="H23" s="56">
        <f>($P$15/$P$16*E23)+($Q$15/$Q$16*F23)</f>
        <v>1588.7691631588477</v>
      </c>
      <c r="I23" s="57">
        <f t="shared" si="2"/>
        <v>-3.0222424057255921</v>
      </c>
      <c r="J23" s="10"/>
      <c r="N23" s="234"/>
      <c r="O23" s="234"/>
      <c r="P23" s="234"/>
      <c r="Q23" s="234"/>
    </row>
    <row r="24" spans="2:17" ht="48">
      <c r="B24" s="62" t="s">
        <v>151</v>
      </c>
      <c r="C24" s="51" t="s">
        <v>144</v>
      </c>
      <c r="D24" s="52" t="s">
        <v>145</v>
      </c>
      <c r="E24" s="41">
        <v>4.1100000000000003</v>
      </c>
      <c r="F24" s="168">
        <v>4.1100000000000003</v>
      </c>
      <c r="G24" s="55">
        <v>30592.080000000002</v>
      </c>
      <c r="H24" s="40">
        <v>1117</v>
      </c>
      <c r="I24" s="57">
        <f t="shared" si="2"/>
        <v>-29475.08</v>
      </c>
      <c r="J24" s="10"/>
      <c r="M24" s="6"/>
      <c r="N24" s="234"/>
      <c r="O24" s="234"/>
      <c r="P24" s="234"/>
      <c r="Q24" s="234"/>
    </row>
    <row r="25" spans="2:17" ht="64.5">
      <c r="B25" s="31" t="s">
        <v>152</v>
      </c>
      <c r="C25" s="59" t="s">
        <v>148</v>
      </c>
      <c r="D25" s="52" t="s">
        <v>145</v>
      </c>
      <c r="E25" s="41">
        <v>0.71</v>
      </c>
      <c r="F25" s="168">
        <v>1.44</v>
      </c>
      <c r="G25" s="55">
        <f t="shared" si="0"/>
        <v>7943.1260534188332</v>
      </c>
      <c r="H25" s="56">
        <f t="shared" ref="H25:H27" si="3">($P$15/$P$16*E25)+($Q$15/$Q$16*F25)</f>
        <v>7903.0892755027289</v>
      </c>
      <c r="I25" s="57">
        <f t="shared" si="2"/>
        <v>-40.036777916104256</v>
      </c>
      <c r="J25" s="10"/>
      <c r="K25" s="172"/>
      <c r="L25" s="172"/>
      <c r="M25" s="6"/>
      <c r="N25" s="234"/>
      <c r="O25" s="234"/>
      <c r="P25" s="234"/>
      <c r="Q25" s="234"/>
    </row>
    <row r="26" spans="2:17" ht="64.5">
      <c r="B26" s="31" t="s">
        <v>126</v>
      </c>
      <c r="C26" s="59" t="s">
        <v>148</v>
      </c>
      <c r="D26" s="52" t="s">
        <v>145</v>
      </c>
      <c r="E26" s="41">
        <v>0.25</v>
      </c>
      <c r="F26" s="168">
        <v>0.83</v>
      </c>
      <c r="G26" s="55">
        <f t="shared" si="0"/>
        <v>3985.7062030640036</v>
      </c>
      <c r="H26" s="56">
        <f t="shared" si="3"/>
        <v>3958.7784474095488</v>
      </c>
      <c r="I26" s="57">
        <f t="shared" si="2"/>
        <v>-26.927755654454813</v>
      </c>
      <c r="J26" s="10"/>
      <c r="K26" s="64"/>
      <c r="L26" s="64"/>
      <c r="M26" s="6"/>
      <c r="N26" s="238">
        <f>K26-L26</f>
        <v>0</v>
      </c>
      <c r="O26" s="238"/>
      <c r="P26" s="234"/>
      <c r="Q26" s="234"/>
    </row>
    <row r="27" spans="2:17" ht="16.5" thickBot="1">
      <c r="B27" s="78" t="s">
        <v>127</v>
      </c>
      <c r="C27" s="79" t="s">
        <v>148</v>
      </c>
      <c r="D27" s="80" t="s">
        <v>145</v>
      </c>
      <c r="E27" s="70">
        <v>0.04</v>
      </c>
      <c r="F27" s="81">
        <v>0.27</v>
      </c>
      <c r="G27" s="82">
        <f t="shared" si="0"/>
        <v>1142.7561194880809</v>
      </c>
      <c r="H27" s="83">
        <f t="shared" si="3"/>
        <v>1132.9970678058303</v>
      </c>
      <c r="I27" s="84">
        <f t="shared" si="2"/>
        <v>-9.7590516822506288</v>
      </c>
      <c r="J27" s="10"/>
      <c r="N27" s="234"/>
      <c r="O27" s="234"/>
      <c r="P27" s="234"/>
      <c r="Q27" s="234"/>
    </row>
    <row r="28" spans="2:17" ht="16.5" thickBot="1">
      <c r="B28" s="85" t="s">
        <v>128</v>
      </c>
      <c r="C28" s="86"/>
      <c r="D28" s="86"/>
      <c r="E28" s="100">
        <f>SUM(E16:E27)</f>
        <v>14.100000000000001</v>
      </c>
      <c r="F28" s="87">
        <f>SUM(F16:F27)</f>
        <v>15.370000000000001</v>
      </c>
      <c r="G28" s="88">
        <f>SUM(G16:G27)</f>
        <v>108784.83000000002</v>
      </c>
      <c r="H28" s="89">
        <f>SUM(H16:H27)</f>
        <v>79349.866500000004</v>
      </c>
      <c r="I28" s="90">
        <f>H28-G28</f>
        <v>-29434.963500000013</v>
      </c>
      <c r="J28" s="10"/>
      <c r="N28" s="234"/>
      <c r="O28" s="234"/>
      <c r="P28" s="234"/>
      <c r="Q28" s="234"/>
    </row>
    <row r="29" spans="2:17">
      <c r="B29" s="6"/>
      <c r="C29" s="6"/>
      <c r="D29" s="6"/>
      <c r="E29" s="29"/>
      <c r="F29" s="29"/>
      <c r="G29" s="29"/>
      <c r="H29" s="29"/>
      <c r="I29" s="2"/>
      <c r="N29" s="234"/>
      <c r="O29" s="234"/>
      <c r="P29" s="234"/>
      <c r="Q29" s="234"/>
    </row>
    <row r="30" spans="2:17" ht="16.5" thickBot="1">
      <c r="B30" s="221" t="s">
        <v>153</v>
      </c>
      <c r="C30" s="221"/>
      <c r="D30" s="221"/>
      <c r="E30" s="221"/>
      <c r="F30" s="221"/>
      <c r="G30" s="221"/>
      <c r="H30" s="221"/>
      <c r="I30" s="221"/>
      <c r="J30" s="74"/>
      <c r="K30" s="74"/>
      <c r="N30" s="234"/>
      <c r="O30" s="234"/>
      <c r="P30" s="234"/>
      <c r="Q30" s="234"/>
    </row>
    <row r="31" spans="2:17" ht="44.25" customHeight="1">
      <c r="B31" s="20"/>
      <c r="C31" s="65"/>
      <c r="D31" s="208" t="s">
        <v>154</v>
      </c>
      <c r="E31" s="209"/>
      <c r="F31" s="210" t="s">
        <v>10</v>
      </c>
      <c r="G31" s="211"/>
      <c r="H31" s="210" t="s">
        <v>11</v>
      </c>
      <c r="I31" s="212"/>
      <c r="J31" s="111"/>
      <c r="K31" s="112"/>
      <c r="L31" s="24"/>
      <c r="M31" s="9"/>
      <c r="N31" s="238"/>
      <c r="O31" s="238"/>
      <c r="P31" s="238"/>
      <c r="Q31" s="238"/>
    </row>
    <row r="32" spans="2:17">
      <c r="B32" s="21" t="s">
        <v>12</v>
      </c>
      <c r="C32" s="67"/>
      <c r="D32" s="203">
        <f>F32+H32</f>
        <v>108784.83</v>
      </c>
      <c r="E32" s="204"/>
      <c r="F32" s="203">
        <f>29959.4+34086.73+14146.62</f>
        <v>78192.75</v>
      </c>
      <c r="G32" s="204"/>
      <c r="H32" s="203">
        <f>G24</f>
        <v>30592.080000000002</v>
      </c>
      <c r="I32" s="213"/>
      <c r="J32" s="113"/>
      <c r="K32" s="114"/>
      <c r="L32" s="10"/>
      <c r="M32" s="10"/>
      <c r="N32" s="234"/>
      <c r="O32" s="234"/>
      <c r="P32" s="234"/>
      <c r="Q32" s="234"/>
    </row>
    <row r="33" spans="2:17">
      <c r="B33" s="21" t="s">
        <v>13</v>
      </c>
      <c r="C33" s="67"/>
      <c r="D33" s="203">
        <f>F33+H33</f>
        <v>109848.42000000001</v>
      </c>
      <c r="E33" s="204"/>
      <c r="F33" s="203">
        <f>30213.25+34375.55+14408.33</f>
        <v>78997.13</v>
      </c>
      <c r="G33" s="204"/>
      <c r="H33" s="203">
        <f>30851.29</f>
        <v>30851.29</v>
      </c>
      <c r="I33" s="213"/>
      <c r="J33" s="113"/>
      <c r="K33" s="114"/>
      <c r="L33" s="25"/>
      <c r="M33" s="10"/>
      <c r="N33" s="234"/>
      <c r="O33" s="234"/>
      <c r="P33" s="234"/>
      <c r="Q33" s="234"/>
    </row>
    <row r="34" spans="2:17" ht="16.5" thickBot="1">
      <c r="B34" s="22" t="s">
        <v>114</v>
      </c>
      <c r="C34" s="69"/>
      <c r="D34" s="205">
        <f>F34+H34</f>
        <v>79349.866500000004</v>
      </c>
      <c r="E34" s="206"/>
      <c r="F34" s="205">
        <f>H16+H17+H18+H19+H20+H21+H22+H23+H25+H26+H27</f>
        <v>78232.866500000004</v>
      </c>
      <c r="G34" s="206"/>
      <c r="H34" s="205">
        <f>H24</f>
        <v>1117</v>
      </c>
      <c r="I34" s="214"/>
      <c r="J34" s="113"/>
      <c r="K34" s="114"/>
      <c r="L34" s="10"/>
      <c r="M34" s="10"/>
      <c r="N34" s="234"/>
      <c r="O34" s="234"/>
      <c r="P34" s="234"/>
      <c r="Q34" s="234"/>
    </row>
    <row r="35" spans="2:17" ht="27" thickBot="1">
      <c r="B35" s="23" t="s">
        <v>115</v>
      </c>
      <c r="C35" s="72"/>
      <c r="D35" s="184">
        <f>F35+H35</f>
        <v>30498.553500000002</v>
      </c>
      <c r="E35" s="185"/>
      <c r="F35" s="182">
        <f>F33-F34</f>
        <v>764.26350000000093</v>
      </c>
      <c r="G35" s="183"/>
      <c r="H35" s="182">
        <f>H33-H34</f>
        <v>29734.29</v>
      </c>
      <c r="I35" s="202"/>
      <c r="J35" s="113"/>
      <c r="K35" s="114"/>
      <c r="L35" s="10"/>
      <c r="M35" s="10"/>
      <c r="N35" s="234"/>
      <c r="O35" s="234"/>
      <c r="P35" s="234"/>
      <c r="Q35" s="234"/>
    </row>
    <row r="36" spans="2:17" ht="29.25" customHeight="1">
      <c r="B36" s="164" t="s">
        <v>116</v>
      </c>
      <c r="C36" s="164"/>
      <c r="D36" s="164"/>
      <c r="E36" s="230" t="s">
        <v>117</v>
      </c>
      <c r="F36" s="230"/>
      <c r="G36" s="178" t="s">
        <v>14</v>
      </c>
      <c r="H36" s="178"/>
      <c r="I36" s="175"/>
      <c r="J36" s="175"/>
      <c r="K36" s="8"/>
      <c r="L36" s="8"/>
      <c r="M36" s="8"/>
      <c r="N36" s="237"/>
      <c r="O36" s="237"/>
      <c r="P36" s="237"/>
      <c r="Q36" s="237"/>
    </row>
    <row r="37" spans="2:17" ht="9.75" customHeight="1">
      <c r="B37" s="26"/>
      <c r="C37" s="26"/>
      <c r="D37" s="26"/>
      <c r="E37" s="179" t="s">
        <v>15</v>
      </c>
      <c r="F37" s="179"/>
      <c r="G37" s="181"/>
      <c r="H37" s="181"/>
      <c r="I37" s="175"/>
      <c r="J37" s="175"/>
      <c r="K37" s="8"/>
      <c r="L37" s="8"/>
      <c r="M37" s="8"/>
      <c r="N37" s="237"/>
      <c r="O37" s="237"/>
      <c r="P37" s="237"/>
      <c r="Q37" s="237"/>
    </row>
    <row r="38" spans="2:17">
      <c r="B38" s="26" t="s">
        <v>118</v>
      </c>
      <c r="C38" s="26"/>
      <c r="D38" s="26"/>
      <c r="E38" s="177" t="s">
        <v>117</v>
      </c>
      <c r="F38" s="177"/>
      <c r="G38" s="178" t="s">
        <v>131</v>
      </c>
      <c r="H38" s="178"/>
      <c r="I38" s="175"/>
      <c r="J38" s="175"/>
      <c r="K38" s="8"/>
      <c r="L38" s="8"/>
      <c r="M38" s="8"/>
      <c r="N38" s="237"/>
      <c r="O38" s="237"/>
      <c r="P38" s="237"/>
      <c r="Q38" s="237"/>
    </row>
    <row r="39" spans="2:17" ht="6.75" customHeight="1">
      <c r="B39" s="26"/>
      <c r="C39" s="26"/>
      <c r="D39" s="26"/>
      <c r="E39" s="220" t="s">
        <v>15</v>
      </c>
      <c r="F39" s="220"/>
      <c r="G39" s="178"/>
      <c r="H39" s="178"/>
      <c r="I39" s="175"/>
      <c r="J39" s="175"/>
      <c r="N39" s="234"/>
      <c r="O39" s="234"/>
      <c r="P39" s="234"/>
      <c r="Q39" s="234"/>
    </row>
    <row r="40" spans="2:17">
      <c r="B40" s="26" t="s">
        <v>119</v>
      </c>
      <c r="C40" s="26"/>
      <c r="D40" s="26"/>
      <c r="E40" s="177" t="s">
        <v>117</v>
      </c>
      <c r="F40" s="177"/>
      <c r="G40" s="178" t="s">
        <v>157</v>
      </c>
      <c r="H40" s="178"/>
      <c r="I40" s="175"/>
      <c r="J40" s="175"/>
      <c r="N40" s="234"/>
      <c r="O40" s="234"/>
      <c r="P40" s="234"/>
      <c r="Q40" s="234"/>
    </row>
    <row r="41" spans="2:17" ht="9.75" customHeight="1">
      <c r="B41" s="27"/>
      <c r="C41" s="27"/>
      <c r="D41" s="27"/>
      <c r="E41" s="220" t="s">
        <v>15</v>
      </c>
      <c r="F41" s="220"/>
      <c r="G41" s="170"/>
      <c r="H41" s="28"/>
      <c r="I41" s="170"/>
      <c r="J41" s="28"/>
      <c r="N41" s="234"/>
      <c r="O41" s="234"/>
      <c r="P41" s="234"/>
      <c r="Q41" s="234"/>
    </row>
    <row r="42" spans="2:17">
      <c r="B42" s="26" t="s">
        <v>120</v>
      </c>
      <c r="C42" s="26"/>
      <c r="D42" s="26"/>
      <c r="E42" s="181" t="s">
        <v>117</v>
      </c>
      <c r="F42" s="181"/>
      <c r="G42" s="178" t="s">
        <v>93</v>
      </c>
      <c r="H42" s="178"/>
      <c r="I42" s="175"/>
      <c r="J42" s="175"/>
      <c r="N42" s="234"/>
      <c r="O42" s="234"/>
      <c r="P42" s="234"/>
      <c r="Q42" s="234"/>
    </row>
    <row r="43" spans="2:17" ht="7.5" customHeight="1">
      <c r="C43" s="1"/>
      <c r="D43" s="1"/>
      <c r="E43" s="220" t="s">
        <v>15</v>
      </c>
      <c r="F43" s="220"/>
      <c r="G43" s="220"/>
      <c r="H43" s="220"/>
      <c r="I43" s="2"/>
      <c r="J43" s="2"/>
      <c r="N43" s="234"/>
      <c r="O43" s="234"/>
      <c r="P43" s="234"/>
      <c r="Q43" s="234"/>
    </row>
  </sheetData>
  <mergeCells count="42">
    <mergeCell ref="B2:I3"/>
    <mergeCell ref="B13:I13"/>
    <mergeCell ref="B14:B15"/>
    <mergeCell ref="C14:C15"/>
    <mergeCell ref="D14:D15"/>
    <mergeCell ref="E14:E15"/>
    <mergeCell ref="F14:F15"/>
    <mergeCell ref="G14:H14"/>
    <mergeCell ref="I14:I15"/>
    <mergeCell ref="D5:F5"/>
    <mergeCell ref="D12:E12"/>
    <mergeCell ref="B30:I30"/>
    <mergeCell ref="D31:E31"/>
    <mergeCell ref="F31:G31"/>
    <mergeCell ref="H31:I31"/>
    <mergeCell ref="D32:E32"/>
    <mergeCell ref="F32:G32"/>
    <mergeCell ref="H32:I32"/>
    <mergeCell ref="D33:E33"/>
    <mergeCell ref="F33:G33"/>
    <mergeCell ref="H33:I33"/>
    <mergeCell ref="D34:E34"/>
    <mergeCell ref="F34:G34"/>
    <mergeCell ref="H34:I34"/>
    <mergeCell ref="D35:E35"/>
    <mergeCell ref="F35:G35"/>
    <mergeCell ref="H35:I35"/>
    <mergeCell ref="E36:F36"/>
    <mergeCell ref="G36:H36"/>
    <mergeCell ref="E39:F39"/>
    <mergeCell ref="G39:H39"/>
    <mergeCell ref="E40:F40"/>
    <mergeCell ref="G40:H40"/>
    <mergeCell ref="E37:F37"/>
    <mergeCell ref="G37:H37"/>
    <mergeCell ref="E38:F38"/>
    <mergeCell ref="G38:H38"/>
    <mergeCell ref="E41:F41"/>
    <mergeCell ref="E42:F42"/>
    <mergeCell ref="G42:H42"/>
    <mergeCell ref="E43:F43"/>
    <mergeCell ref="G43:H43"/>
  </mergeCells>
  <printOptions horizontalCentered="1"/>
  <pageMargins left="0.19685039370078741" right="0.19685039370078741" top="0.53" bottom="0.23622047244094491" header="0.31496062992125984" footer="0.31496062992125984"/>
  <pageSetup paperSize="9" scale="42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43"/>
  <sheetViews>
    <sheetView zoomScale="110" zoomScaleNormal="110" workbookViewId="0">
      <selection activeCell="E17" sqref="E17"/>
    </sheetView>
  </sheetViews>
  <sheetFormatPr defaultColWidth="9.140625" defaultRowHeight="15.75" outlineLevelRow="1"/>
  <cols>
    <col min="1" max="1" width="2.7109375" style="1" customWidth="1"/>
    <col min="2" max="2" width="56" style="1" customWidth="1"/>
    <col min="3" max="3" width="11.42578125" style="2" customWidth="1"/>
    <col min="4" max="4" width="9" style="2" customWidth="1"/>
    <col min="5" max="5" width="10.5703125" style="2" customWidth="1"/>
    <col min="6" max="6" width="11.140625" style="2" customWidth="1"/>
    <col min="7" max="7" width="10.140625" style="1" customWidth="1"/>
    <col min="8" max="8" width="10.28515625" style="1" customWidth="1"/>
    <col min="9" max="9" width="11" style="1" customWidth="1"/>
    <col min="10" max="10" width="12.28515625" style="1" customWidth="1"/>
    <col min="11" max="13" width="9.140625" style="1"/>
    <col min="14" max="14" width="12.7109375" style="232" customWidth="1"/>
    <col min="15" max="15" width="13" style="232" customWidth="1"/>
    <col min="16" max="16" width="11.5703125" style="232" customWidth="1"/>
    <col min="17" max="17" width="15" style="232" customWidth="1"/>
    <col min="18" max="19" width="9.140625" style="232"/>
    <col min="20" max="16384" width="9.140625" style="1"/>
  </cols>
  <sheetData>
    <row r="1" spans="1:18">
      <c r="B1" s="137"/>
      <c r="C1" s="137"/>
      <c r="D1" s="137"/>
      <c r="E1" s="137"/>
      <c r="F1" s="137"/>
      <c r="G1" s="137"/>
      <c r="H1" s="137"/>
      <c r="I1" s="137"/>
    </row>
    <row r="2" spans="1:18" ht="19.5" customHeight="1">
      <c r="A2" s="18"/>
      <c r="B2" s="186" t="s">
        <v>161</v>
      </c>
      <c r="C2" s="186"/>
      <c r="D2" s="186"/>
      <c r="E2" s="186"/>
      <c r="F2" s="186"/>
      <c r="G2" s="186"/>
      <c r="H2" s="186"/>
      <c r="I2" s="186"/>
    </row>
    <row r="3" spans="1:18" ht="20.25" customHeight="1">
      <c r="A3" s="18"/>
      <c r="B3" s="186"/>
      <c r="C3" s="186"/>
      <c r="D3" s="186"/>
      <c r="E3" s="186"/>
      <c r="F3" s="186"/>
      <c r="G3" s="186"/>
      <c r="H3" s="186"/>
      <c r="I3" s="186"/>
    </row>
    <row r="4" spans="1:18" ht="15" customHeight="1"/>
    <row r="5" spans="1:18">
      <c r="B5" s="1" t="s">
        <v>0</v>
      </c>
      <c r="D5" s="200" t="s">
        <v>88</v>
      </c>
      <c r="E5" s="200"/>
      <c r="F5" s="200"/>
    </row>
    <row r="6" spans="1:18">
      <c r="B6" s="1" t="s">
        <v>1</v>
      </c>
      <c r="D6" s="14">
        <v>1971</v>
      </c>
      <c r="E6" s="14"/>
      <c r="F6" s="14"/>
    </row>
    <row r="7" spans="1:18" hidden="1" outlineLevel="1">
      <c r="B7" s="1" t="s">
        <v>2</v>
      </c>
      <c r="D7" s="14">
        <v>2</v>
      </c>
      <c r="E7" s="14"/>
      <c r="F7" s="14"/>
    </row>
    <row r="8" spans="1:18" hidden="1" outlineLevel="1">
      <c r="B8" s="1" t="s">
        <v>3</v>
      </c>
      <c r="D8" s="14">
        <v>16</v>
      </c>
      <c r="E8" s="14"/>
      <c r="F8" s="14"/>
    </row>
    <row r="9" spans="1:18" ht="30.75" hidden="1" customHeight="1" outlineLevel="1">
      <c r="B9" s="4" t="s">
        <v>4</v>
      </c>
      <c r="C9" s="5"/>
      <c r="D9" s="14" t="s">
        <v>89</v>
      </c>
      <c r="E9" s="14"/>
      <c r="F9" s="14"/>
    </row>
    <row r="10" spans="1:18" collapsed="1">
      <c r="B10" s="1" t="s">
        <v>5</v>
      </c>
      <c r="D10" s="15" t="s">
        <v>91</v>
      </c>
      <c r="E10" s="14"/>
      <c r="F10" s="14"/>
      <c r="J10" s="6"/>
    </row>
    <row r="11" spans="1:18" hidden="1" outlineLevel="1">
      <c r="B11" s="1" t="s">
        <v>6</v>
      </c>
      <c r="D11" s="14" t="s">
        <v>7</v>
      </c>
      <c r="E11" s="14"/>
      <c r="F11" s="14"/>
    </row>
    <row r="12" spans="1:18" ht="30.75" hidden="1" customHeight="1" outlineLevel="1">
      <c r="B12" s="4" t="s">
        <v>8</v>
      </c>
      <c r="C12" s="5"/>
      <c r="D12" s="201" t="s">
        <v>90</v>
      </c>
      <c r="E12" s="201"/>
      <c r="F12" s="14"/>
      <c r="J12" s="6"/>
    </row>
    <row r="13" spans="1:18" ht="36" customHeight="1" collapsed="1" thickBot="1">
      <c r="B13" s="187" t="s">
        <v>132</v>
      </c>
      <c r="C13" s="187"/>
      <c r="D13" s="187"/>
      <c r="E13" s="187"/>
      <c r="F13" s="187"/>
      <c r="G13" s="187"/>
      <c r="H13" s="187"/>
      <c r="I13" s="187"/>
      <c r="M13" s="6"/>
      <c r="N13" s="233" t="s">
        <v>133</v>
      </c>
      <c r="O13" s="233" t="s">
        <v>134</v>
      </c>
      <c r="P13" s="233" t="s">
        <v>135</v>
      </c>
      <c r="Q13" s="233" t="s">
        <v>136</v>
      </c>
    </row>
    <row r="14" spans="1:18" ht="34.5" customHeight="1">
      <c r="B14" s="188" t="s">
        <v>137</v>
      </c>
      <c r="C14" s="190" t="s">
        <v>138</v>
      </c>
      <c r="D14" s="190" t="s">
        <v>139</v>
      </c>
      <c r="E14" s="192" t="s">
        <v>140</v>
      </c>
      <c r="F14" s="194" t="s">
        <v>141</v>
      </c>
      <c r="G14" s="196" t="s">
        <v>142</v>
      </c>
      <c r="H14" s="197"/>
      <c r="I14" s="198" t="s">
        <v>163</v>
      </c>
      <c r="M14" s="6"/>
      <c r="N14" s="233"/>
      <c r="O14" s="233"/>
      <c r="P14" s="233"/>
      <c r="Q14" s="233"/>
    </row>
    <row r="15" spans="1:18" ht="39.75" customHeight="1" thickBot="1">
      <c r="B15" s="189"/>
      <c r="C15" s="191"/>
      <c r="D15" s="191"/>
      <c r="E15" s="193"/>
      <c r="F15" s="195"/>
      <c r="G15" s="48" t="s">
        <v>121</v>
      </c>
      <c r="H15" s="49" t="s">
        <v>122</v>
      </c>
      <c r="I15" s="199"/>
      <c r="N15" s="234">
        <v>31396.44</v>
      </c>
      <c r="O15" s="234">
        <v>36618</v>
      </c>
      <c r="P15" s="234">
        <f>32187.69*0.99</f>
        <v>31865.813099999999</v>
      </c>
      <c r="Q15" s="234">
        <f>35992.88*0.99</f>
        <v>35632.951199999996</v>
      </c>
      <c r="R15" s="232">
        <f>(N15+O15)/(P15+Q15)*100</f>
        <v>100.76397798589034</v>
      </c>
    </row>
    <row r="16" spans="1:18" ht="53.25" customHeight="1">
      <c r="B16" s="110" t="s">
        <v>143</v>
      </c>
      <c r="C16" s="51" t="s">
        <v>144</v>
      </c>
      <c r="D16" s="52" t="s">
        <v>145</v>
      </c>
      <c r="E16" s="53">
        <v>1.01</v>
      </c>
      <c r="F16" s="54">
        <v>1.05</v>
      </c>
      <c r="G16" s="55">
        <f>($N$15/$N$16*E16)+($O$15/$O$16*F16)</f>
        <v>7990.6980575303187</v>
      </c>
      <c r="H16" s="56">
        <f>($P$15/$P$16*E16)+($Q$15/$Q$16*F16)</f>
        <v>7940.5998075802572</v>
      </c>
      <c r="I16" s="57">
        <f>H16-G16</f>
        <v>-50.098249950061472</v>
      </c>
      <c r="J16" s="171"/>
      <c r="K16" s="7"/>
      <c r="L16" s="7"/>
      <c r="M16" s="58"/>
      <c r="N16" s="235">
        <v>8.0500000000000007</v>
      </c>
      <c r="O16" s="234">
        <v>9.49</v>
      </c>
      <c r="P16" s="235">
        <v>8.0500000000000007</v>
      </c>
      <c r="Q16" s="234">
        <v>9.49</v>
      </c>
    </row>
    <row r="17" spans="2:17" ht="51.75">
      <c r="B17" s="31" t="s">
        <v>129</v>
      </c>
      <c r="C17" s="51" t="s">
        <v>144</v>
      </c>
      <c r="D17" s="52" t="s">
        <v>145</v>
      </c>
      <c r="E17" s="41">
        <v>1.1299999999999999</v>
      </c>
      <c r="F17" s="168">
        <v>1.17</v>
      </c>
      <c r="G17" s="55">
        <f t="shared" ref="G17:G27" si="0">($N$15/$N$16*E17)+($O$15/$O$16*F17)</f>
        <v>8921.7500818514418</v>
      </c>
      <c r="H17" s="56">
        <f t="shared" ref="H17:H21" si="1">($P$15/$P$16*E17)+($Q$15/$Q$16*F17)</f>
        <v>8866.1928649008751</v>
      </c>
      <c r="I17" s="57">
        <f t="shared" ref="I17:I27" si="2">H17-G17</f>
        <v>-55.557216950566726</v>
      </c>
      <c r="J17" s="30"/>
      <c r="K17" s="8"/>
      <c r="L17" s="8"/>
      <c r="M17" s="8"/>
      <c r="N17" s="236"/>
      <c r="O17" s="237"/>
      <c r="P17" s="237"/>
      <c r="Q17" s="237"/>
    </row>
    <row r="18" spans="2:17" ht="51.75" customHeight="1">
      <c r="B18" s="62" t="s">
        <v>123</v>
      </c>
      <c r="C18" s="51" t="s">
        <v>144</v>
      </c>
      <c r="D18" s="52" t="s">
        <v>145</v>
      </c>
      <c r="E18" s="41">
        <v>0.28000000000000003</v>
      </c>
      <c r="F18" s="168">
        <v>0.27</v>
      </c>
      <c r="G18" s="55">
        <f t="shared" si="0"/>
        <v>2133.8688435424019</v>
      </c>
      <c r="H18" s="56">
        <f t="shared" si="1"/>
        <v>2122.1692399651806</v>
      </c>
      <c r="I18" s="57">
        <f t="shared" si="2"/>
        <v>-11.699603577221296</v>
      </c>
      <c r="J18" s="10"/>
      <c r="M18" s="6"/>
      <c r="N18" s="234"/>
      <c r="O18" s="234"/>
      <c r="P18" s="234"/>
      <c r="Q18" s="234"/>
    </row>
    <row r="19" spans="2:17" ht="26.25">
      <c r="B19" s="32" t="s">
        <v>146</v>
      </c>
      <c r="C19" s="59" t="s">
        <v>147</v>
      </c>
      <c r="D19" s="52" t="s">
        <v>145</v>
      </c>
      <c r="E19" s="41">
        <v>0</v>
      </c>
      <c r="F19" s="168">
        <v>0</v>
      </c>
      <c r="G19" s="55">
        <f t="shared" si="0"/>
        <v>0</v>
      </c>
      <c r="H19" s="56">
        <f t="shared" si="1"/>
        <v>0</v>
      </c>
      <c r="I19" s="57">
        <f t="shared" si="2"/>
        <v>0</v>
      </c>
      <c r="J19" s="10"/>
      <c r="M19" s="6"/>
      <c r="N19" s="234"/>
      <c r="O19" s="234"/>
      <c r="P19" s="234"/>
      <c r="Q19" s="234"/>
    </row>
    <row r="20" spans="2:17" ht="51.75">
      <c r="B20" s="31" t="s">
        <v>124</v>
      </c>
      <c r="C20" s="51" t="s">
        <v>144</v>
      </c>
      <c r="D20" s="52" t="s">
        <v>145</v>
      </c>
      <c r="E20" s="41">
        <v>1.1399999999999999</v>
      </c>
      <c r="F20" s="168">
        <v>1.33</v>
      </c>
      <c r="G20" s="55">
        <f t="shared" si="0"/>
        <v>9578.1259486481358</v>
      </c>
      <c r="H20" s="56">
        <f t="shared" si="1"/>
        <v>9506.5440264215358</v>
      </c>
      <c r="I20" s="57">
        <f t="shared" si="2"/>
        <v>-71.5819222266</v>
      </c>
      <c r="J20" s="10"/>
      <c r="N20" s="234"/>
      <c r="O20" s="234"/>
      <c r="P20" s="234"/>
      <c r="Q20" s="234"/>
    </row>
    <row r="21" spans="2:17" ht="146.25" customHeight="1">
      <c r="B21" s="31" t="s">
        <v>125</v>
      </c>
      <c r="C21" s="51" t="s">
        <v>148</v>
      </c>
      <c r="D21" s="52" t="s">
        <v>145</v>
      </c>
      <c r="E21" s="41">
        <v>3.27</v>
      </c>
      <c r="F21" s="168">
        <v>2.92</v>
      </c>
      <c r="G21" s="55">
        <f t="shared" si="0"/>
        <v>24020.661867176299</v>
      </c>
      <c r="H21" s="56">
        <f t="shared" si="1"/>
        <v>23908.234529584326</v>
      </c>
      <c r="I21" s="57">
        <f t="shared" si="2"/>
        <v>-112.4273375919729</v>
      </c>
      <c r="J21" s="30"/>
      <c r="K21" s="8"/>
      <c r="L21" s="8"/>
      <c r="M21" s="60"/>
      <c r="N21" s="237"/>
      <c r="O21" s="237"/>
      <c r="P21" s="237"/>
      <c r="Q21" s="237"/>
    </row>
    <row r="22" spans="2:17" ht="28.5" customHeight="1">
      <c r="B22" s="61" t="s">
        <v>149</v>
      </c>
      <c r="C22" s="51" t="s">
        <v>147</v>
      </c>
      <c r="D22" s="52" t="s">
        <v>145</v>
      </c>
      <c r="E22" s="41">
        <v>1.94</v>
      </c>
      <c r="F22" s="168">
        <v>2</v>
      </c>
      <c r="G22" s="55">
        <v>14474.66</v>
      </c>
      <c r="H22" s="40">
        <v>14875.89</v>
      </c>
      <c r="I22" s="57">
        <f t="shared" si="2"/>
        <v>401.22999999999956</v>
      </c>
      <c r="J22" s="10"/>
      <c r="N22" s="234"/>
      <c r="O22" s="234"/>
      <c r="P22" s="234"/>
      <c r="Q22" s="234"/>
    </row>
    <row r="23" spans="2:17" ht="107.25" customHeight="1">
      <c r="B23" s="31" t="s">
        <v>150</v>
      </c>
      <c r="C23" s="51" t="s">
        <v>144</v>
      </c>
      <c r="D23" s="52" t="s">
        <v>145</v>
      </c>
      <c r="E23" s="41">
        <v>0.22</v>
      </c>
      <c r="F23" s="168">
        <v>0.21</v>
      </c>
      <c r="G23" s="55">
        <f t="shared" si="0"/>
        <v>1668.3428313818401</v>
      </c>
      <c r="H23" s="56">
        <f>($P$15/$P$16*E23)+($Q$15/$Q$16*F23)</f>
        <v>1659.3727113048712</v>
      </c>
      <c r="I23" s="57">
        <f t="shared" si="2"/>
        <v>-8.9701200769688967</v>
      </c>
      <c r="J23" s="10"/>
      <c r="N23" s="234"/>
      <c r="O23" s="234"/>
      <c r="P23" s="234"/>
      <c r="Q23" s="234"/>
    </row>
    <row r="24" spans="2:17" ht="48">
      <c r="B24" s="62" t="s">
        <v>151</v>
      </c>
      <c r="C24" s="51" t="s">
        <v>144</v>
      </c>
      <c r="D24" s="52" t="s">
        <v>145</v>
      </c>
      <c r="E24" s="41">
        <v>2.5</v>
      </c>
      <c r="F24" s="168">
        <v>3</v>
      </c>
      <c r="G24" s="55">
        <v>21450.98</v>
      </c>
      <c r="H24" s="40">
        <v>33390</v>
      </c>
      <c r="I24" s="57">
        <f t="shared" si="2"/>
        <v>11939.02</v>
      </c>
      <c r="J24" s="10"/>
      <c r="M24" s="6"/>
      <c r="N24" s="234"/>
      <c r="O24" s="234"/>
      <c r="P24" s="234"/>
      <c r="Q24" s="234"/>
    </row>
    <row r="25" spans="2:17" ht="64.5">
      <c r="B25" s="31" t="s">
        <v>152</v>
      </c>
      <c r="C25" s="59" t="s">
        <v>148</v>
      </c>
      <c r="D25" s="52" t="s">
        <v>145</v>
      </c>
      <c r="E25" s="41">
        <v>0.71</v>
      </c>
      <c r="F25" s="168">
        <v>1.44</v>
      </c>
      <c r="G25" s="55">
        <f t="shared" si="0"/>
        <v>8325.4937080025393</v>
      </c>
      <c r="H25" s="56">
        <f t="shared" ref="H25:H27" si="3">($P$15/$P$16*E25)+($Q$15/$Q$16*F25)</f>
        <v>8217.4218353008382</v>
      </c>
      <c r="I25" s="57">
        <f t="shared" si="2"/>
        <v>-108.07187270170107</v>
      </c>
      <c r="J25" s="10"/>
      <c r="K25" s="172"/>
      <c r="L25" s="172"/>
      <c r="M25" s="6"/>
      <c r="N25" s="234"/>
      <c r="O25" s="234"/>
      <c r="P25" s="234"/>
      <c r="Q25" s="234"/>
    </row>
    <row r="26" spans="2:17" ht="64.5">
      <c r="B26" s="31" t="s">
        <v>126</v>
      </c>
      <c r="C26" s="59" t="s">
        <v>148</v>
      </c>
      <c r="D26" s="52" t="s">
        <v>145</v>
      </c>
      <c r="E26" s="41">
        <v>0.25</v>
      </c>
      <c r="F26" s="168">
        <v>0.83</v>
      </c>
      <c r="G26" s="55">
        <f t="shared" si="0"/>
        <v>4177.6727500016359</v>
      </c>
      <c r="H26" s="56">
        <f t="shared" si="3"/>
        <v>4106.0967088278603</v>
      </c>
      <c r="I26" s="57">
        <f t="shared" si="2"/>
        <v>-71.576041173775593</v>
      </c>
      <c r="J26" s="10"/>
      <c r="K26" s="64"/>
      <c r="L26" s="64"/>
      <c r="M26" s="6"/>
      <c r="N26" s="238">
        <f>K26-L26</f>
        <v>0</v>
      </c>
      <c r="O26" s="238"/>
      <c r="P26" s="234"/>
      <c r="Q26" s="234"/>
    </row>
    <row r="27" spans="2:17" ht="16.5" thickBot="1">
      <c r="B27" s="78" t="s">
        <v>127</v>
      </c>
      <c r="C27" s="79" t="s">
        <v>148</v>
      </c>
      <c r="D27" s="80" t="s">
        <v>145</v>
      </c>
      <c r="E27" s="70">
        <v>0.04</v>
      </c>
      <c r="F27" s="81">
        <v>0.27</v>
      </c>
      <c r="G27" s="82">
        <f t="shared" si="0"/>
        <v>1197.8259118653832</v>
      </c>
      <c r="H27" s="83">
        <f t="shared" si="3"/>
        <v>1172.1325761142489</v>
      </c>
      <c r="I27" s="84">
        <f t="shared" si="2"/>
        <v>-25.693335751134327</v>
      </c>
      <c r="J27" s="10"/>
      <c r="N27" s="234"/>
      <c r="O27" s="234"/>
      <c r="P27" s="234"/>
      <c r="Q27" s="234"/>
    </row>
    <row r="28" spans="2:17" ht="16.5" thickBot="1">
      <c r="B28" s="85" t="s">
        <v>128</v>
      </c>
      <c r="C28" s="86"/>
      <c r="D28" s="86"/>
      <c r="E28" s="100">
        <f>SUM(E16:E27)</f>
        <v>12.489999999999998</v>
      </c>
      <c r="F28" s="87">
        <f>SUM(F16:F27)</f>
        <v>14.49</v>
      </c>
      <c r="G28" s="88">
        <f>SUM(G16:G27)</f>
        <v>103940.08</v>
      </c>
      <c r="H28" s="89">
        <f>SUM(H16:H27)</f>
        <v>115764.65429999998</v>
      </c>
      <c r="I28" s="90">
        <f>H28-G28</f>
        <v>11824.574299999978</v>
      </c>
      <c r="J28" s="10"/>
      <c r="N28" s="234"/>
      <c r="O28" s="234"/>
      <c r="P28" s="234"/>
      <c r="Q28" s="234"/>
    </row>
    <row r="29" spans="2:17">
      <c r="B29" s="6"/>
      <c r="C29" s="6"/>
      <c r="D29" s="6"/>
      <c r="E29" s="29"/>
      <c r="F29" s="29"/>
      <c r="G29" s="29"/>
      <c r="H29" s="29"/>
      <c r="I29" s="2"/>
      <c r="N29" s="234"/>
      <c r="O29" s="234"/>
      <c r="P29" s="234"/>
      <c r="Q29" s="234"/>
    </row>
    <row r="30" spans="2:17" ht="16.5" thickBot="1">
      <c r="B30" s="221" t="s">
        <v>153</v>
      </c>
      <c r="C30" s="221"/>
      <c r="D30" s="221"/>
      <c r="E30" s="221"/>
      <c r="F30" s="221"/>
      <c r="G30" s="221"/>
      <c r="H30" s="221"/>
      <c r="I30" s="221"/>
      <c r="J30" s="74"/>
      <c r="K30" s="74"/>
      <c r="N30" s="234"/>
      <c r="O30" s="234"/>
      <c r="P30" s="234"/>
      <c r="Q30" s="234"/>
    </row>
    <row r="31" spans="2:17" ht="44.25" customHeight="1">
      <c r="B31" s="20"/>
      <c r="C31" s="65"/>
      <c r="D31" s="208" t="s">
        <v>154</v>
      </c>
      <c r="E31" s="209"/>
      <c r="F31" s="210" t="s">
        <v>10</v>
      </c>
      <c r="G31" s="211"/>
      <c r="H31" s="210" t="s">
        <v>11</v>
      </c>
      <c r="I31" s="212"/>
      <c r="J31" s="111"/>
      <c r="K31" s="112"/>
      <c r="L31" s="24"/>
      <c r="M31" s="9"/>
      <c r="N31" s="238"/>
      <c r="O31" s="238"/>
      <c r="P31" s="238"/>
      <c r="Q31" s="238"/>
    </row>
    <row r="32" spans="2:17">
      <c r="B32" s="21" t="s">
        <v>12</v>
      </c>
      <c r="C32" s="67"/>
      <c r="D32" s="203">
        <f>F32+H32</f>
        <v>103940.08</v>
      </c>
      <c r="E32" s="204"/>
      <c r="F32" s="203">
        <f>31396.44+36618+14474.66</f>
        <v>82489.100000000006</v>
      </c>
      <c r="G32" s="204"/>
      <c r="H32" s="203">
        <f>G24</f>
        <v>21450.98</v>
      </c>
      <c r="I32" s="213"/>
      <c r="J32" s="113"/>
      <c r="K32" s="114"/>
      <c r="L32" s="10"/>
      <c r="M32" s="10"/>
      <c r="N32" s="234"/>
      <c r="O32" s="234"/>
      <c r="P32" s="234"/>
      <c r="Q32" s="234"/>
    </row>
    <row r="33" spans="2:17">
      <c r="B33" s="21" t="s">
        <v>13</v>
      </c>
      <c r="C33" s="67"/>
      <c r="D33" s="203">
        <f>F33+H33</f>
        <v>84432.17</v>
      </c>
      <c r="E33" s="204"/>
      <c r="F33" s="203">
        <f>25557.22+29807.65+11605.85</f>
        <v>66970.720000000001</v>
      </c>
      <c r="G33" s="204"/>
      <c r="H33" s="203">
        <v>17461.45</v>
      </c>
      <c r="I33" s="213"/>
      <c r="J33" s="113"/>
      <c r="K33" s="114"/>
      <c r="L33" s="25"/>
      <c r="M33" s="10"/>
      <c r="N33" s="234"/>
      <c r="O33" s="234"/>
      <c r="P33" s="234"/>
      <c r="Q33" s="234"/>
    </row>
    <row r="34" spans="2:17" ht="16.5" thickBot="1">
      <c r="B34" s="22" t="s">
        <v>114</v>
      </c>
      <c r="C34" s="69"/>
      <c r="D34" s="205">
        <f>F34+H34</f>
        <v>115764.65429999998</v>
      </c>
      <c r="E34" s="206"/>
      <c r="F34" s="205">
        <f>H16+H17+H18+H19+H20+H21+H22+H23+H25+H26+H27</f>
        <v>82374.65429999998</v>
      </c>
      <c r="G34" s="206"/>
      <c r="H34" s="205">
        <f>H24</f>
        <v>33390</v>
      </c>
      <c r="I34" s="214"/>
      <c r="J34" s="113"/>
      <c r="K34" s="114"/>
      <c r="L34" s="10"/>
      <c r="M34" s="10"/>
      <c r="N34" s="234"/>
      <c r="O34" s="234"/>
      <c r="P34" s="234"/>
      <c r="Q34" s="234"/>
    </row>
    <row r="35" spans="2:17" ht="27" thickBot="1">
      <c r="B35" s="23" t="s">
        <v>115</v>
      </c>
      <c r="C35" s="72"/>
      <c r="D35" s="184">
        <f>F35+H35</f>
        <v>-31332.484299999978</v>
      </c>
      <c r="E35" s="185"/>
      <c r="F35" s="182">
        <f>F33-F34</f>
        <v>-15403.934299999979</v>
      </c>
      <c r="G35" s="183"/>
      <c r="H35" s="182">
        <f>H33-H34</f>
        <v>-15928.55</v>
      </c>
      <c r="I35" s="202"/>
      <c r="J35" s="113"/>
      <c r="K35" s="114"/>
      <c r="L35" s="10"/>
      <c r="M35" s="10"/>
      <c r="N35" s="234"/>
      <c r="O35" s="234"/>
      <c r="P35" s="234"/>
      <c r="Q35" s="234"/>
    </row>
    <row r="36" spans="2:17" ht="29.25" customHeight="1">
      <c r="B36" s="164" t="s">
        <v>116</v>
      </c>
      <c r="C36" s="164"/>
      <c r="D36" s="164"/>
      <c r="E36" s="230" t="s">
        <v>117</v>
      </c>
      <c r="F36" s="230"/>
      <c r="G36" s="178" t="s">
        <v>14</v>
      </c>
      <c r="H36" s="178"/>
      <c r="I36" s="175"/>
      <c r="J36" s="175"/>
      <c r="K36" s="8"/>
      <c r="L36" s="8"/>
      <c r="M36" s="8"/>
      <c r="N36" s="237"/>
      <c r="O36" s="237"/>
      <c r="P36" s="237"/>
      <c r="Q36" s="237"/>
    </row>
    <row r="37" spans="2:17" ht="9.75" customHeight="1">
      <c r="B37" s="26"/>
      <c r="C37" s="26"/>
      <c r="D37" s="26"/>
      <c r="E37" s="179" t="s">
        <v>15</v>
      </c>
      <c r="F37" s="179"/>
      <c r="G37" s="181"/>
      <c r="H37" s="181"/>
      <c r="I37" s="175"/>
      <c r="J37" s="175"/>
      <c r="K37" s="8"/>
      <c r="L37" s="8"/>
      <c r="M37" s="8"/>
      <c r="N37" s="237"/>
      <c r="O37" s="237"/>
      <c r="P37" s="237"/>
      <c r="Q37" s="237"/>
    </row>
    <row r="38" spans="2:17">
      <c r="B38" s="26" t="s">
        <v>118</v>
      </c>
      <c r="C38" s="26"/>
      <c r="D38" s="26"/>
      <c r="E38" s="177" t="s">
        <v>117</v>
      </c>
      <c r="F38" s="177"/>
      <c r="G38" s="178" t="s">
        <v>131</v>
      </c>
      <c r="H38" s="178"/>
      <c r="I38" s="175"/>
      <c r="J38" s="175"/>
      <c r="K38" s="8"/>
      <c r="L38" s="8"/>
      <c r="M38" s="8"/>
      <c r="N38" s="237"/>
      <c r="O38" s="237"/>
      <c r="P38" s="237"/>
      <c r="Q38" s="237"/>
    </row>
    <row r="39" spans="2:17" ht="6.75" customHeight="1">
      <c r="B39" s="26"/>
      <c r="C39" s="26"/>
      <c r="D39" s="26"/>
      <c r="E39" s="220" t="s">
        <v>15</v>
      </c>
      <c r="F39" s="220"/>
      <c r="G39" s="178"/>
      <c r="H39" s="178"/>
      <c r="I39" s="175"/>
      <c r="J39" s="175"/>
      <c r="N39" s="234"/>
      <c r="O39" s="234"/>
      <c r="P39" s="234"/>
      <c r="Q39" s="234"/>
    </row>
    <row r="40" spans="2:17">
      <c r="B40" s="26" t="s">
        <v>119</v>
      </c>
      <c r="C40" s="26"/>
      <c r="D40" s="26"/>
      <c r="E40" s="177" t="s">
        <v>117</v>
      </c>
      <c r="F40" s="177"/>
      <c r="G40" s="178" t="s">
        <v>157</v>
      </c>
      <c r="H40" s="178"/>
      <c r="I40" s="175"/>
      <c r="J40" s="175"/>
      <c r="N40" s="234"/>
      <c r="O40" s="234"/>
      <c r="P40" s="234"/>
      <c r="Q40" s="234"/>
    </row>
    <row r="41" spans="2:17" ht="9.75" customHeight="1">
      <c r="B41" s="27"/>
      <c r="C41" s="27"/>
      <c r="D41" s="27"/>
      <c r="E41" s="220" t="s">
        <v>15</v>
      </c>
      <c r="F41" s="220"/>
      <c r="G41" s="170"/>
      <c r="H41" s="28"/>
      <c r="I41" s="170"/>
      <c r="J41" s="28"/>
      <c r="N41" s="234"/>
      <c r="O41" s="234"/>
      <c r="P41" s="234"/>
      <c r="Q41" s="234"/>
    </row>
    <row r="42" spans="2:17">
      <c r="B42" s="26" t="s">
        <v>120</v>
      </c>
      <c r="C42" s="26"/>
      <c r="D42" s="26"/>
      <c r="E42" s="181" t="s">
        <v>117</v>
      </c>
      <c r="F42" s="181"/>
      <c r="G42" s="178" t="s">
        <v>93</v>
      </c>
      <c r="H42" s="178"/>
      <c r="I42" s="175"/>
      <c r="J42" s="175"/>
      <c r="N42" s="234"/>
      <c r="O42" s="234"/>
      <c r="P42" s="234"/>
      <c r="Q42" s="234"/>
    </row>
    <row r="43" spans="2:17" ht="7.5" customHeight="1">
      <c r="C43" s="1"/>
      <c r="D43" s="1"/>
      <c r="E43" s="220" t="s">
        <v>15</v>
      </c>
      <c r="F43" s="220"/>
      <c r="G43" s="220"/>
      <c r="H43" s="220"/>
      <c r="I43" s="2"/>
      <c r="J43" s="2"/>
      <c r="N43" s="234"/>
      <c r="O43" s="234"/>
      <c r="P43" s="234"/>
      <c r="Q43" s="234"/>
    </row>
  </sheetData>
  <mergeCells count="42">
    <mergeCell ref="B2:I3"/>
    <mergeCell ref="B13:I13"/>
    <mergeCell ref="B14:B15"/>
    <mergeCell ref="C14:C15"/>
    <mergeCell ref="D14:D15"/>
    <mergeCell ref="E14:E15"/>
    <mergeCell ref="F14:F15"/>
    <mergeCell ref="G14:H14"/>
    <mergeCell ref="I14:I15"/>
    <mergeCell ref="D5:F5"/>
    <mergeCell ref="D12:E12"/>
    <mergeCell ref="B30:I30"/>
    <mergeCell ref="D31:E31"/>
    <mergeCell ref="F31:G31"/>
    <mergeCell ref="H31:I31"/>
    <mergeCell ref="D32:E32"/>
    <mergeCell ref="F32:G32"/>
    <mergeCell ref="H32:I32"/>
    <mergeCell ref="D33:E33"/>
    <mergeCell ref="F33:G33"/>
    <mergeCell ref="H33:I33"/>
    <mergeCell ref="D34:E34"/>
    <mergeCell ref="F34:G34"/>
    <mergeCell ref="H34:I34"/>
    <mergeCell ref="D35:E35"/>
    <mergeCell ref="F35:G35"/>
    <mergeCell ref="H35:I35"/>
    <mergeCell ref="E36:F36"/>
    <mergeCell ref="G36:H36"/>
    <mergeCell ref="E39:F39"/>
    <mergeCell ref="G39:H39"/>
    <mergeCell ref="E40:F40"/>
    <mergeCell ref="G40:H40"/>
    <mergeCell ref="E37:F37"/>
    <mergeCell ref="G37:H37"/>
    <mergeCell ref="E38:F38"/>
    <mergeCell ref="G38:H38"/>
    <mergeCell ref="E41:F41"/>
    <mergeCell ref="E42:F42"/>
    <mergeCell ref="G42:H42"/>
    <mergeCell ref="E43:F43"/>
    <mergeCell ref="G43:H43"/>
  </mergeCells>
  <printOptions horizontalCentered="1"/>
  <pageMargins left="0.19685039370078741" right="0.19685039370078741" top="0.33" bottom="0.23622047244094491" header="0.31496062992125984" footer="0.31496062992125984"/>
  <pageSetup paperSize="9" scale="4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B1:R44"/>
  <sheetViews>
    <sheetView zoomScale="110" zoomScaleNormal="110" workbookViewId="0">
      <selection activeCell="B1" sqref="B1:I1"/>
    </sheetView>
  </sheetViews>
  <sheetFormatPr defaultColWidth="9.140625" defaultRowHeight="15.75" outlineLevelRow="1"/>
  <cols>
    <col min="1" max="1" width="2.85546875" style="1" customWidth="1"/>
    <col min="2" max="2" width="53.85546875" style="1" customWidth="1"/>
    <col min="3" max="3" width="12.140625" style="2" customWidth="1"/>
    <col min="4" max="4" width="8.85546875" style="2" customWidth="1"/>
    <col min="5" max="5" width="10.42578125" style="2" customWidth="1"/>
    <col min="6" max="6" width="10.28515625" style="2" customWidth="1"/>
    <col min="7" max="7" width="9.85546875" style="1" customWidth="1"/>
    <col min="8" max="8" width="10.42578125" style="1" customWidth="1"/>
    <col min="9" max="9" width="11.140625" style="1" customWidth="1"/>
    <col min="10" max="10" width="10.7109375" style="1" bestFit="1" customWidth="1"/>
    <col min="11" max="13" width="9.140625" style="1"/>
    <col min="14" max="14" width="11.7109375" style="232" customWidth="1"/>
    <col min="15" max="15" width="10.5703125" style="232" customWidth="1"/>
    <col min="16" max="16" width="13.42578125" style="232" customWidth="1"/>
    <col min="17" max="18" width="12.7109375" style="232" customWidth="1"/>
    <col min="19" max="16384" width="9.140625" style="1"/>
  </cols>
  <sheetData>
    <row r="1" spans="2:18">
      <c r="B1" s="137"/>
      <c r="C1" s="137"/>
      <c r="D1" s="137"/>
      <c r="E1" s="137"/>
      <c r="F1" s="137"/>
      <c r="G1" s="137"/>
      <c r="H1" s="137"/>
      <c r="I1" s="137"/>
    </row>
    <row r="2" spans="2:18" ht="19.5" customHeight="1">
      <c r="B2" s="186" t="s">
        <v>161</v>
      </c>
      <c r="C2" s="186"/>
      <c r="D2" s="186"/>
      <c r="E2" s="186"/>
      <c r="F2" s="186"/>
      <c r="G2" s="186"/>
      <c r="H2" s="186"/>
      <c r="I2" s="186"/>
    </row>
    <row r="3" spans="2:18" ht="20.25" customHeight="1">
      <c r="B3" s="186"/>
      <c r="C3" s="186"/>
      <c r="D3" s="186"/>
      <c r="E3" s="186"/>
      <c r="F3" s="186"/>
      <c r="G3" s="186"/>
      <c r="H3" s="186"/>
      <c r="I3" s="186"/>
    </row>
    <row r="4" spans="2:18" ht="14.25" customHeight="1"/>
    <row r="5" spans="2:18">
      <c r="B5" s="1" t="s">
        <v>0</v>
      </c>
      <c r="D5" s="200" t="s">
        <v>19</v>
      </c>
      <c r="E5" s="200"/>
      <c r="F5" s="200"/>
    </row>
    <row r="6" spans="2:18">
      <c r="B6" s="1" t="s">
        <v>1</v>
      </c>
      <c r="D6" s="3">
        <v>1977</v>
      </c>
      <c r="E6" s="3"/>
      <c r="F6" s="3"/>
    </row>
    <row r="7" spans="2:18" hidden="1" outlineLevel="1">
      <c r="B7" s="1" t="s">
        <v>2</v>
      </c>
      <c r="D7" s="3">
        <v>2</v>
      </c>
      <c r="E7" s="3"/>
      <c r="F7" s="3"/>
    </row>
    <row r="8" spans="2:18" hidden="1" outlineLevel="1">
      <c r="B8" s="1" t="s">
        <v>3</v>
      </c>
      <c r="D8" s="3">
        <v>18</v>
      </c>
      <c r="E8" s="3"/>
      <c r="F8" s="3"/>
    </row>
    <row r="9" spans="2:18" ht="30.75" hidden="1" customHeight="1" outlineLevel="1">
      <c r="B9" s="4" t="s">
        <v>4</v>
      </c>
      <c r="C9" s="5"/>
      <c r="D9" s="3" t="s">
        <v>20</v>
      </c>
      <c r="E9" s="3"/>
      <c r="F9" s="3"/>
    </row>
    <row r="10" spans="2:18" collapsed="1">
      <c r="B10" s="1" t="s">
        <v>5</v>
      </c>
      <c r="D10" s="16" t="s">
        <v>98</v>
      </c>
      <c r="E10" s="3"/>
      <c r="F10" s="3"/>
      <c r="J10" s="6"/>
    </row>
    <row r="11" spans="2:18" hidden="1" outlineLevel="1">
      <c r="B11" s="1" t="s">
        <v>6</v>
      </c>
      <c r="D11" s="3" t="s">
        <v>7</v>
      </c>
      <c r="E11" s="3"/>
      <c r="F11" s="3"/>
    </row>
    <row r="12" spans="2:18" ht="30.75" hidden="1" customHeight="1" outlineLevel="1">
      <c r="B12" s="4" t="s">
        <v>8</v>
      </c>
      <c r="C12" s="5"/>
      <c r="D12" s="201" t="s">
        <v>21</v>
      </c>
      <c r="E12" s="201"/>
      <c r="F12" s="3"/>
      <c r="J12" s="6"/>
    </row>
    <row r="13" spans="2:18" ht="31.5" customHeight="1" collapsed="1" thickBot="1">
      <c r="B13" s="187" t="s">
        <v>132</v>
      </c>
      <c r="C13" s="187"/>
      <c r="D13" s="187"/>
      <c r="E13" s="187"/>
      <c r="F13" s="187"/>
      <c r="G13" s="187"/>
      <c r="H13" s="187"/>
      <c r="I13" s="187"/>
      <c r="J13" s="124"/>
      <c r="K13" s="124"/>
      <c r="M13" s="6"/>
      <c r="N13" s="233" t="s">
        <v>133</v>
      </c>
      <c r="O13" s="233" t="s">
        <v>134</v>
      </c>
      <c r="P13" s="233" t="s">
        <v>135</v>
      </c>
      <c r="Q13" s="233" t="s">
        <v>136</v>
      </c>
    </row>
    <row r="14" spans="2:18" ht="27.75" customHeight="1">
      <c r="B14" s="188" t="s">
        <v>137</v>
      </c>
      <c r="C14" s="190" t="s">
        <v>138</v>
      </c>
      <c r="D14" s="190" t="s">
        <v>139</v>
      </c>
      <c r="E14" s="192" t="s">
        <v>140</v>
      </c>
      <c r="F14" s="194" t="s">
        <v>141</v>
      </c>
      <c r="G14" s="196" t="s">
        <v>142</v>
      </c>
      <c r="H14" s="197"/>
      <c r="I14" s="198" t="s">
        <v>163</v>
      </c>
      <c r="J14" s="125"/>
      <c r="K14" s="125"/>
      <c r="M14" s="6"/>
      <c r="N14" s="233"/>
      <c r="O14" s="233"/>
      <c r="P14" s="233"/>
      <c r="Q14" s="233"/>
    </row>
    <row r="15" spans="2:18" ht="45" customHeight="1" thickBot="1">
      <c r="B15" s="189"/>
      <c r="C15" s="191"/>
      <c r="D15" s="191"/>
      <c r="E15" s="193"/>
      <c r="F15" s="195"/>
      <c r="G15" s="48" t="s">
        <v>121</v>
      </c>
      <c r="H15" s="49" t="s">
        <v>122</v>
      </c>
      <c r="I15" s="199"/>
      <c r="J15" s="125"/>
      <c r="K15" s="125"/>
      <c r="N15" s="234">
        <v>44297.06</v>
      </c>
      <c r="O15" s="234">
        <v>49278.39</v>
      </c>
      <c r="P15" s="234">
        <v>43645.97</v>
      </c>
      <c r="Q15" s="234">
        <v>48805.73</v>
      </c>
      <c r="R15" s="232">
        <f>(N15+O15)/(P15+Q15)*100</f>
        <v>101.2154995527394</v>
      </c>
    </row>
    <row r="16" spans="2:18" ht="50.25" customHeight="1">
      <c r="B16" s="110" t="s">
        <v>143</v>
      </c>
      <c r="C16" s="51" t="s">
        <v>144</v>
      </c>
      <c r="D16" s="52" t="s">
        <v>145</v>
      </c>
      <c r="E16" s="53">
        <v>1.01</v>
      </c>
      <c r="F16" s="54">
        <v>1.05</v>
      </c>
      <c r="G16" s="55">
        <f>($N$15/$N$16*E16)+($O$15/$O$16*F16)</f>
        <v>10705.36038352076</v>
      </c>
      <c r="H16" s="56">
        <f>($P$15/$P$16*E16)+($Q$15/$Q$16*F16)</f>
        <v>10575.736192572116</v>
      </c>
      <c r="I16" s="57">
        <f>H16-G16</f>
        <v>-129.62419094864345</v>
      </c>
      <c r="J16" s="126"/>
      <c r="K16" s="126"/>
      <c r="L16" s="7"/>
      <c r="M16" s="58"/>
      <c r="N16" s="235">
        <v>8.48</v>
      </c>
      <c r="O16" s="234">
        <v>9.5299999999999994</v>
      </c>
      <c r="P16" s="235">
        <v>8.48</v>
      </c>
      <c r="Q16" s="234">
        <v>9.5299999999999994</v>
      </c>
    </row>
    <row r="17" spans="2:17" ht="51">
      <c r="B17" s="127" t="s">
        <v>129</v>
      </c>
      <c r="C17" s="51" t="s">
        <v>144</v>
      </c>
      <c r="D17" s="52" t="s">
        <v>145</v>
      </c>
      <c r="E17" s="41">
        <v>1.1299999999999999</v>
      </c>
      <c r="F17" s="103">
        <v>1.17</v>
      </c>
      <c r="G17" s="55">
        <f t="shared" ref="G17:G27" si="0">($N$15/$N$16*E17)+($O$15/$O$16*F17)</f>
        <v>11952.709958349005</v>
      </c>
      <c r="H17" s="56">
        <f t="shared" ref="H17:H21" si="1">($P$15/$P$16*E17)+($Q$15/$Q$16*F17)</f>
        <v>11807.920582235343</v>
      </c>
      <c r="I17" s="57">
        <f t="shared" ref="I17:I27" si="2">H17-G17</f>
        <v>-144.789376113662</v>
      </c>
      <c r="J17" s="126"/>
      <c r="K17" s="126"/>
      <c r="L17" s="8"/>
      <c r="M17" s="8"/>
      <c r="N17" s="236"/>
      <c r="O17" s="237"/>
      <c r="P17" s="237"/>
      <c r="Q17" s="237"/>
    </row>
    <row r="18" spans="2:17" ht="52.5" customHeight="1">
      <c r="B18" s="62" t="s">
        <v>123</v>
      </c>
      <c r="C18" s="51" t="s">
        <v>144</v>
      </c>
      <c r="D18" s="52" t="s">
        <v>145</v>
      </c>
      <c r="E18" s="41">
        <v>0.28000000000000003</v>
      </c>
      <c r="F18" s="103">
        <v>0.27</v>
      </c>
      <c r="G18" s="55">
        <f t="shared" si="0"/>
        <v>2858.773642420163</v>
      </c>
      <c r="H18" s="56">
        <f t="shared" si="1"/>
        <v>2823.8841809875471</v>
      </c>
      <c r="I18" s="57">
        <f t="shared" si="2"/>
        <v>-34.889461432615917</v>
      </c>
      <c r="J18" s="126"/>
      <c r="K18" s="126"/>
      <c r="M18" s="6"/>
      <c r="N18" s="234"/>
      <c r="O18" s="234"/>
      <c r="P18" s="234"/>
      <c r="Q18" s="234"/>
    </row>
    <row r="19" spans="2:17" ht="25.5">
      <c r="B19" s="62" t="s">
        <v>146</v>
      </c>
      <c r="C19" s="59" t="s">
        <v>147</v>
      </c>
      <c r="D19" s="52" t="s">
        <v>145</v>
      </c>
      <c r="E19" s="41">
        <v>0</v>
      </c>
      <c r="F19" s="103">
        <v>0</v>
      </c>
      <c r="G19" s="55">
        <f t="shared" si="0"/>
        <v>0</v>
      </c>
      <c r="H19" s="56">
        <f t="shared" si="1"/>
        <v>0</v>
      </c>
      <c r="I19" s="57">
        <f t="shared" si="2"/>
        <v>0</v>
      </c>
      <c r="J19" s="126"/>
      <c r="K19" s="126"/>
      <c r="M19" s="6"/>
      <c r="N19" s="234"/>
      <c r="O19" s="234"/>
      <c r="P19" s="234"/>
      <c r="Q19" s="234"/>
    </row>
    <row r="20" spans="2:17" ht="51">
      <c r="B20" s="127" t="s">
        <v>124</v>
      </c>
      <c r="C20" s="51" t="s">
        <v>144</v>
      </c>
      <c r="D20" s="52" t="s">
        <v>145</v>
      </c>
      <c r="E20" s="41">
        <v>1.1399999999999999</v>
      </c>
      <c r="F20" s="103">
        <v>1.33</v>
      </c>
      <c r="G20" s="55">
        <f t="shared" si="0"/>
        <v>12832.286238937613</v>
      </c>
      <c r="H20" s="56">
        <f t="shared" si="1"/>
        <v>12678.793538107071</v>
      </c>
      <c r="I20" s="57">
        <f t="shared" si="2"/>
        <v>-153.49270083054216</v>
      </c>
      <c r="J20" s="126"/>
      <c r="K20" s="126"/>
      <c r="N20" s="234"/>
      <c r="O20" s="234"/>
      <c r="P20" s="234"/>
      <c r="Q20" s="234"/>
    </row>
    <row r="21" spans="2:17" ht="145.5" customHeight="1">
      <c r="B21" s="127" t="s">
        <v>125</v>
      </c>
      <c r="C21" s="51" t="s">
        <v>148</v>
      </c>
      <c r="D21" s="52" t="s">
        <v>145</v>
      </c>
      <c r="E21" s="41">
        <v>3.67</v>
      </c>
      <c r="F21" s="103">
        <v>3.13</v>
      </c>
      <c r="G21" s="55">
        <f t="shared" si="0"/>
        <v>35355.838092493417</v>
      </c>
      <c r="H21" s="56">
        <f t="shared" si="1"/>
        <v>34918.818592961157</v>
      </c>
      <c r="I21" s="57">
        <f t="shared" si="2"/>
        <v>-437.01949953225994</v>
      </c>
      <c r="J21" s="126"/>
      <c r="K21" s="126"/>
      <c r="L21" s="8"/>
      <c r="M21" s="60"/>
      <c r="N21" s="237"/>
      <c r="O21" s="237"/>
      <c r="P21" s="237"/>
      <c r="Q21" s="237"/>
    </row>
    <row r="22" spans="2:17" ht="27.75" customHeight="1">
      <c r="B22" s="62" t="s">
        <v>149</v>
      </c>
      <c r="C22" s="51" t="s">
        <v>147</v>
      </c>
      <c r="D22" s="52" t="s">
        <v>145</v>
      </c>
      <c r="E22" s="41">
        <v>1.94</v>
      </c>
      <c r="F22" s="103">
        <v>2</v>
      </c>
      <c r="G22" s="55">
        <v>19843.28</v>
      </c>
      <c r="H22" s="40">
        <v>20171.45</v>
      </c>
      <c r="I22" s="57">
        <f t="shared" si="2"/>
        <v>328.17000000000189</v>
      </c>
      <c r="J22" s="126"/>
      <c r="K22" s="126"/>
      <c r="N22" s="234"/>
      <c r="O22" s="234"/>
      <c r="P22" s="234"/>
      <c r="Q22" s="234"/>
    </row>
    <row r="23" spans="2:17" ht="108.75" customHeight="1">
      <c r="B23" s="127" t="s">
        <v>150</v>
      </c>
      <c r="C23" s="51" t="s">
        <v>144</v>
      </c>
      <c r="D23" s="52" t="s">
        <v>145</v>
      </c>
      <c r="E23" s="41">
        <v>0.22</v>
      </c>
      <c r="F23" s="103">
        <v>0.21</v>
      </c>
      <c r="G23" s="55">
        <f t="shared" si="0"/>
        <v>2235.0988550060383</v>
      </c>
      <c r="H23" s="56">
        <f t="shared" ref="H23" si="3">($P$15/$P$16*E23)+($Q$15/$Q$16*F23)</f>
        <v>2207.7919861559326</v>
      </c>
      <c r="I23" s="57">
        <f t="shared" si="2"/>
        <v>-27.30686885010573</v>
      </c>
      <c r="J23" s="126"/>
      <c r="K23" s="126"/>
      <c r="N23" s="234"/>
      <c r="O23" s="234"/>
      <c r="P23" s="234"/>
      <c r="Q23" s="234"/>
    </row>
    <row r="24" spans="2:17" ht="48">
      <c r="B24" s="62" t="s">
        <v>151</v>
      </c>
      <c r="C24" s="51" t="s">
        <v>144</v>
      </c>
      <c r="D24" s="52" t="s">
        <v>145</v>
      </c>
      <c r="E24" s="41">
        <v>3.5</v>
      </c>
      <c r="F24" s="103">
        <v>3.5</v>
      </c>
      <c r="G24" s="55">
        <v>36565.97</v>
      </c>
      <c r="H24" s="128">
        <v>74355</v>
      </c>
      <c r="I24" s="57">
        <f t="shared" si="2"/>
        <v>37789.03</v>
      </c>
      <c r="J24" s="126"/>
      <c r="K24" s="126"/>
      <c r="M24" s="6"/>
      <c r="N24" s="234"/>
      <c r="O24" s="234"/>
      <c r="P24" s="234"/>
      <c r="Q24" s="234"/>
    </row>
    <row r="25" spans="2:17" ht="63.75">
      <c r="B25" s="127" t="s">
        <v>152</v>
      </c>
      <c r="C25" s="59" t="s">
        <v>148</v>
      </c>
      <c r="D25" s="52" t="s">
        <v>145</v>
      </c>
      <c r="E25" s="41">
        <v>0.71</v>
      </c>
      <c r="F25" s="103">
        <v>1.44</v>
      </c>
      <c r="G25" s="55">
        <f t="shared" si="0"/>
        <v>11154.886666806906</v>
      </c>
      <c r="H25" s="56">
        <f t="shared" ref="H25:H27" si="4">($P$15/$P$16*E25)+($Q$15/$Q$16*F25)</f>
        <v>11028.953466053079</v>
      </c>
      <c r="I25" s="57">
        <f t="shared" si="2"/>
        <v>-125.9332007538269</v>
      </c>
      <c r="J25" s="126"/>
      <c r="K25" s="126"/>
      <c r="L25" s="108"/>
      <c r="M25" s="6"/>
      <c r="N25" s="234"/>
      <c r="O25" s="234"/>
      <c r="P25" s="234"/>
      <c r="Q25" s="234"/>
    </row>
    <row r="26" spans="2:17" ht="63.75">
      <c r="B26" s="127" t="s">
        <v>126</v>
      </c>
      <c r="C26" s="59" t="s">
        <v>148</v>
      </c>
      <c r="D26" s="52" t="s">
        <v>145</v>
      </c>
      <c r="E26" s="41">
        <v>0.25</v>
      </c>
      <c r="F26" s="103">
        <v>0.83</v>
      </c>
      <c r="G26" s="55">
        <f t="shared" si="0"/>
        <v>5597.7494806123659</v>
      </c>
      <c r="H26" s="56">
        <f t="shared" si="4"/>
        <v>5537.3890489442474</v>
      </c>
      <c r="I26" s="57">
        <f t="shared" si="2"/>
        <v>-60.360431668118508</v>
      </c>
      <c r="J26" s="126"/>
      <c r="K26" s="126"/>
      <c r="L26" s="64"/>
      <c r="M26" s="6"/>
      <c r="N26" s="238"/>
      <c r="O26" s="238"/>
      <c r="P26" s="234"/>
      <c r="Q26" s="234"/>
    </row>
    <row r="27" spans="2:17">
      <c r="B27" s="62" t="s">
        <v>127</v>
      </c>
      <c r="C27" s="129" t="s">
        <v>148</v>
      </c>
      <c r="D27" s="52" t="s">
        <v>145</v>
      </c>
      <c r="E27" s="41">
        <v>7.0000000000000007E-2</v>
      </c>
      <c r="F27" s="103">
        <v>0.1</v>
      </c>
      <c r="G27" s="55">
        <f t="shared" si="0"/>
        <v>882.74668185372911</v>
      </c>
      <c r="H27" s="56">
        <f t="shared" si="4"/>
        <v>872.41241198350792</v>
      </c>
      <c r="I27" s="57">
        <f t="shared" si="2"/>
        <v>-10.334269870221192</v>
      </c>
      <c r="J27" s="126"/>
      <c r="K27" s="126"/>
      <c r="N27" s="234"/>
      <c r="O27" s="234"/>
      <c r="P27" s="234"/>
      <c r="Q27" s="234"/>
    </row>
    <row r="28" spans="2:17" ht="16.5" thickBot="1">
      <c r="B28" s="33" t="s">
        <v>128</v>
      </c>
      <c r="C28" s="130"/>
      <c r="D28" s="130"/>
      <c r="E28" s="34">
        <f>SUM(E16:E27)</f>
        <v>13.920000000000002</v>
      </c>
      <c r="F28" s="131">
        <f>SUM(F16:F27)</f>
        <v>15.03</v>
      </c>
      <c r="G28" s="132">
        <f>SUM(G16:G27)</f>
        <v>149984.70000000001</v>
      </c>
      <c r="H28" s="133">
        <f>SUM(H16:H27)</f>
        <v>186978.15</v>
      </c>
      <c r="I28" s="134">
        <f>H28-G28</f>
        <v>36993.449999999983</v>
      </c>
      <c r="J28" s="135"/>
      <c r="K28" s="135"/>
      <c r="N28" s="234"/>
      <c r="O28" s="234"/>
      <c r="P28" s="234"/>
      <c r="Q28" s="234"/>
    </row>
    <row r="29" spans="2:17">
      <c r="B29" s="6"/>
      <c r="C29" s="6"/>
      <c r="D29" s="6"/>
      <c r="E29" s="29"/>
      <c r="F29" s="29"/>
      <c r="G29" s="29"/>
      <c r="H29" s="29"/>
      <c r="I29" s="2"/>
      <c r="J29" s="2"/>
      <c r="K29" s="2"/>
      <c r="N29" s="234"/>
      <c r="O29" s="234"/>
      <c r="P29" s="234"/>
      <c r="Q29" s="234"/>
    </row>
    <row r="30" spans="2:17" ht="16.5" thickBot="1">
      <c r="B30" s="207" t="s">
        <v>153</v>
      </c>
      <c r="C30" s="207"/>
      <c r="D30" s="207"/>
      <c r="E30" s="207"/>
      <c r="F30" s="207"/>
      <c r="G30" s="207"/>
      <c r="H30" s="207"/>
      <c r="I30" s="207"/>
      <c r="J30" s="102"/>
      <c r="K30" s="102"/>
      <c r="N30" s="234"/>
      <c r="O30" s="234"/>
      <c r="P30" s="234"/>
      <c r="Q30" s="234"/>
    </row>
    <row r="31" spans="2:17" ht="44.25" customHeight="1">
      <c r="B31" s="20"/>
      <c r="C31" s="65"/>
      <c r="D31" s="208" t="s">
        <v>154</v>
      </c>
      <c r="E31" s="209"/>
      <c r="F31" s="210" t="s">
        <v>10</v>
      </c>
      <c r="G31" s="211"/>
      <c r="H31" s="210" t="s">
        <v>11</v>
      </c>
      <c r="I31" s="212"/>
      <c r="J31" s="108"/>
      <c r="K31" s="108"/>
      <c r="L31" s="24"/>
      <c r="M31" s="9"/>
      <c r="N31" s="238"/>
      <c r="O31" s="238"/>
      <c r="P31" s="238"/>
      <c r="Q31" s="238"/>
    </row>
    <row r="32" spans="2:17">
      <c r="B32" s="21" t="s">
        <v>12</v>
      </c>
      <c r="C32" s="67"/>
      <c r="D32" s="203">
        <f>F32+H32</f>
        <v>149984.70000000001</v>
      </c>
      <c r="E32" s="204"/>
      <c r="F32" s="203">
        <f>44297.06+49278.39+19843.28</f>
        <v>113418.73</v>
      </c>
      <c r="G32" s="204"/>
      <c r="H32" s="203">
        <f>G24</f>
        <v>36565.97</v>
      </c>
      <c r="I32" s="213"/>
      <c r="J32" s="109"/>
      <c r="K32" s="109"/>
      <c r="L32" s="10"/>
      <c r="M32" s="10"/>
      <c r="N32" s="234"/>
      <c r="O32" s="234"/>
      <c r="P32" s="234"/>
      <c r="Q32" s="234"/>
    </row>
    <row r="33" spans="2:17">
      <c r="B33" s="21" t="s">
        <v>13</v>
      </c>
      <c r="C33" s="67"/>
      <c r="D33" s="203">
        <f>F33+H33</f>
        <v>136001.04999999999</v>
      </c>
      <c r="E33" s="204"/>
      <c r="F33" s="203">
        <f>40117.14+44628.42+18139.93</f>
        <v>102885.48999999999</v>
      </c>
      <c r="G33" s="204"/>
      <c r="H33" s="203">
        <v>33115.56</v>
      </c>
      <c r="I33" s="213"/>
      <c r="J33" s="109"/>
      <c r="K33" s="109"/>
      <c r="L33" s="25"/>
      <c r="M33" s="10"/>
      <c r="N33" s="234"/>
      <c r="O33" s="234"/>
      <c r="P33" s="234"/>
      <c r="Q33" s="234"/>
    </row>
    <row r="34" spans="2:17" ht="16.5" thickBot="1">
      <c r="B34" s="22" t="s">
        <v>114</v>
      </c>
      <c r="C34" s="69"/>
      <c r="D34" s="205">
        <f>F34+H34</f>
        <v>186978.14999999997</v>
      </c>
      <c r="E34" s="206"/>
      <c r="F34" s="205">
        <f>H16+H17+H18+H19+H20+H21+H22+H23+H25+H26+H27</f>
        <v>112623.14999999998</v>
      </c>
      <c r="G34" s="206"/>
      <c r="H34" s="205">
        <f>H24</f>
        <v>74355</v>
      </c>
      <c r="I34" s="214"/>
      <c r="J34" s="109"/>
      <c r="K34" s="109"/>
      <c r="L34" s="10"/>
      <c r="M34" s="10"/>
      <c r="N34" s="234"/>
      <c r="O34" s="234"/>
      <c r="P34" s="234"/>
      <c r="Q34" s="234"/>
    </row>
    <row r="35" spans="2:17" ht="27" thickBot="1">
      <c r="B35" s="23" t="s">
        <v>115</v>
      </c>
      <c r="C35" s="72"/>
      <c r="D35" s="184">
        <f>F35+H35</f>
        <v>-50977.099999999991</v>
      </c>
      <c r="E35" s="185"/>
      <c r="F35" s="182">
        <f>F33-F34</f>
        <v>-9737.6599999999889</v>
      </c>
      <c r="G35" s="183"/>
      <c r="H35" s="182">
        <f>H33-H34</f>
        <v>-41239.440000000002</v>
      </c>
      <c r="I35" s="202"/>
      <c r="J35" s="109"/>
      <c r="K35" s="109"/>
      <c r="L35" s="10"/>
      <c r="M35" s="10"/>
      <c r="N35" s="234"/>
      <c r="O35" s="234"/>
      <c r="P35" s="234"/>
      <c r="Q35" s="234"/>
    </row>
    <row r="36" spans="2:17" ht="34.5" customHeight="1">
      <c r="B36" s="104" t="s">
        <v>116</v>
      </c>
      <c r="C36" s="104"/>
      <c r="D36" s="136"/>
      <c r="E36" s="180" t="s">
        <v>117</v>
      </c>
      <c r="F36" s="180"/>
      <c r="G36" s="178" t="s">
        <v>14</v>
      </c>
      <c r="H36" s="178"/>
      <c r="I36" s="104"/>
      <c r="J36" s="104"/>
      <c r="K36" s="104"/>
      <c r="L36" s="8"/>
      <c r="M36" s="8"/>
      <c r="N36" s="237"/>
      <c r="O36" s="237"/>
      <c r="P36" s="237"/>
      <c r="Q36" s="237"/>
    </row>
    <row r="37" spans="2:17" ht="11.25" customHeight="1">
      <c r="B37" s="104"/>
      <c r="C37" s="104"/>
      <c r="D37" s="104"/>
      <c r="E37" s="179" t="s">
        <v>15</v>
      </c>
      <c r="F37" s="179"/>
      <c r="G37" s="181"/>
      <c r="H37" s="181"/>
      <c r="I37" s="107"/>
      <c r="J37" s="107"/>
      <c r="K37" s="107"/>
      <c r="L37" s="8"/>
      <c r="M37" s="8"/>
      <c r="N37" s="237"/>
      <c r="O37" s="237"/>
      <c r="P37" s="237"/>
      <c r="Q37" s="237"/>
    </row>
    <row r="38" spans="2:17">
      <c r="B38" s="104" t="s">
        <v>118</v>
      </c>
      <c r="C38" s="104"/>
      <c r="D38" s="104"/>
      <c r="E38" s="177" t="s">
        <v>117</v>
      </c>
      <c r="F38" s="177"/>
      <c r="G38" s="178" t="s">
        <v>131</v>
      </c>
      <c r="H38" s="178"/>
      <c r="I38" s="104"/>
      <c r="J38" s="104"/>
      <c r="K38" s="104"/>
      <c r="L38" s="8"/>
      <c r="M38" s="8"/>
      <c r="N38" s="237"/>
      <c r="O38" s="237"/>
      <c r="P38" s="237"/>
      <c r="Q38" s="237"/>
    </row>
    <row r="39" spans="2:17" ht="9.75" customHeight="1">
      <c r="B39" s="104"/>
      <c r="C39" s="104"/>
      <c r="D39" s="104"/>
      <c r="E39" s="179" t="s">
        <v>15</v>
      </c>
      <c r="F39" s="179"/>
      <c r="G39" s="178"/>
      <c r="H39" s="178"/>
      <c r="I39" s="104"/>
      <c r="J39" s="104"/>
      <c r="K39" s="104"/>
      <c r="N39" s="234"/>
      <c r="O39" s="234"/>
      <c r="P39" s="234"/>
      <c r="Q39" s="234"/>
    </row>
    <row r="40" spans="2:17">
      <c r="B40" s="104" t="s">
        <v>119</v>
      </c>
      <c r="C40" s="104"/>
      <c r="D40" s="104"/>
      <c r="E40" s="177" t="s">
        <v>117</v>
      </c>
      <c r="F40" s="177"/>
      <c r="G40" s="178" t="s">
        <v>157</v>
      </c>
      <c r="H40" s="178"/>
      <c r="I40" s="104"/>
      <c r="J40" s="104"/>
      <c r="K40" s="104"/>
      <c r="N40" s="234"/>
      <c r="O40" s="234"/>
      <c r="P40" s="234"/>
      <c r="Q40" s="234"/>
    </row>
    <row r="41" spans="2:17" ht="8.25" customHeight="1">
      <c r="B41" s="27"/>
      <c r="C41" s="27"/>
      <c r="D41" s="27"/>
      <c r="E41" s="179" t="s">
        <v>15</v>
      </c>
      <c r="F41" s="179"/>
      <c r="G41" s="105"/>
      <c r="H41" s="137"/>
      <c r="I41" s="106"/>
      <c r="J41" s="106"/>
      <c r="K41" s="106"/>
      <c r="N41" s="234"/>
      <c r="O41" s="234"/>
      <c r="P41" s="234"/>
      <c r="Q41" s="234"/>
    </row>
    <row r="42" spans="2:17">
      <c r="B42" s="104" t="s">
        <v>120</v>
      </c>
      <c r="C42" s="104"/>
      <c r="D42" s="104"/>
      <c r="E42" s="177" t="s">
        <v>117</v>
      </c>
      <c r="F42" s="177"/>
      <c r="G42" s="178" t="s">
        <v>93</v>
      </c>
      <c r="H42" s="178"/>
    </row>
    <row r="43" spans="2:17" ht="9" customHeight="1">
      <c r="B43" s="138"/>
      <c r="C43" s="138"/>
      <c r="D43" s="138"/>
      <c r="E43" s="179" t="s">
        <v>15</v>
      </c>
      <c r="F43" s="179"/>
      <c r="G43" s="179"/>
      <c r="H43" s="179"/>
    </row>
    <row r="44" spans="2:17">
      <c r="C44" s="29"/>
      <c r="E44" s="101"/>
      <c r="F44" s="101"/>
    </row>
  </sheetData>
  <mergeCells count="42">
    <mergeCell ref="B30:I30"/>
    <mergeCell ref="D31:E31"/>
    <mergeCell ref="F31:G31"/>
    <mergeCell ref="H31:I31"/>
    <mergeCell ref="D32:E32"/>
    <mergeCell ref="F32:G32"/>
    <mergeCell ref="H32:I32"/>
    <mergeCell ref="B13:I13"/>
    <mergeCell ref="B14:B15"/>
    <mergeCell ref="C14:C15"/>
    <mergeCell ref="D14:D15"/>
    <mergeCell ref="E14:E15"/>
    <mergeCell ref="F14:F15"/>
    <mergeCell ref="G14:H14"/>
    <mergeCell ref="I14:I15"/>
    <mergeCell ref="B2:I3"/>
    <mergeCell ref="D5:F5"/>
    <mergeCell ref="D12:E12"/>
    <mergeCell ref="D33:E33"/>
    <mergeCell ref="F33:G33"/>
    <mergeCell ref="H33:I33"/>
    <mergeCell ref="H34:I34"/>
    <mergeCell ref="H35:I35"/>
    <mergeCell ref="D34:E34"/>
    <mergeCell ref="D35:E35"/>
    <mergeCell ref="F34:G34"/>
    <mergeCell ref="F35:G35"/>
    <mergeCell ref="E36:F36"/>
    <mergeCell ref="G36:H36"/>
    <mergeCell ref="E37:F37"/>
    <mergeCell ref="G37:H37"/>
    <mergeCell ref="E38:F38"/>
    <mergeCell ref="G38:H38"/>
    <mergeCell ref="E42:F42"/>
    <mergeCell ref="G42:H42"/>
    <mergeCell ref="E43:F43"/>
    <mergeCell ref="G43:H43"/>
    <mergeCell ref="E39:F39"/>
    <mergeCell ref="G39:H39"/>
    <mergeCell ref="E40:F40"/>
    <mergeCell ref="G40:H40"/>
    <mergeCell ref="E41:F41"/>
  </mergeCells>
  <printOptions horizontalCentered="1"/>
  <pageMargins left="0.19685039370078741" right="0.19685039370078741" top="0.19685039370078741" bottom="0.23622047244094491" header="0.31496062992125984" footer="0.31496062992125984"/>
  <pageSetup paperSize="9" scale="43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B1:S44"/>
  <sheetViews>
    <sheetView zoomScale="110" zoomScaleNormal="110" workbookViewId="0">
      <selection activeCell="B1" sqref="B1:I1"/>
    </sheetView>
  </sheetViews>
  <sheetFormatPr defaultColWidth="9.140625" defaultRowHeight="15.75" outlineLevelRow="1"/>
  <cols>
    <col min="1" max="1" width="2.85546875" style="1" customWidth="1"/>
    <col min="2" max="2" width="51.7109375" style="1" customWidth="1"/>
    <col min="3" max="3" width="12.28515625" style="29" customWidth="1"/>
    <col min="4" max="4" width="9" style="2" customWidth="1"/>
    <col min="5" max="5" width="11.28515625" style="2" customWidth="1"/>
    <col min="6" max="6" width="10.28515625" style="2" customWidth="1"/>
    <col min="7" max="7" width="10.85546875" style="1" customWidth="1"/>
    <col min="8" max="8" width="10.42578125" style="1" customWidth="1"/>
    <col min="9" max="9" width="11.140625" style="1" customWidth="1"/>
    <col min="10" max="10" width="10.7109375" style="1" bestFit="1" customWidth="1"/>
    <col min="11" max="13" width="9.140625" style="1"/>
    <col min="14" max="15" width="12.42578125" style="232" customWidth="1"/>
    <col min="16" max="16" width="11.5703125" style="232" customWidth="1"/>
    <col min="17" max="17" width="14.28515625" style="232" customWidth="1"/>
    <col min="18" max="19" width="9.140625" style="232"/>
    <col min="20" max="16384" width="9.140625" style="1"/>
  </cols>
  <sheetData>
    <row r="1" spans="2:18">
      <c r="B1" s="137"/>
      <c r="C1" s="137"/>
      <c r="D1" s="137"/>
      <c r="E1" s="137"/>
      <c r="F1" s="137"/>
      <c r="G1" s="137"/>
      <c r="H1" s="137"/>
      <c r="I1" s="137"/>
    </row>
    <row r="2" spans="2:18" ht="19.5" customHeight="1">
      <c r="B2" s="186" t="s">
        <v>161</v>
      </c>
      <c r="C2" s="186"/>
      <c r="D2" s="186"/>
      <c r="E2" s="186"/>
      <c r="F2" s="186"/>
      <c r="G2" s="186"/>
      <c r="H2" s="186"/>
      <c r="I2" s="186"/>
    </row>
    <row r="3" spans="2:18" ht="20.25" customHeight="1">
      <c r="B3" s="186"/>
      <c r="C3" s="186"/>
      <c r="D3" s="186"/>
      <c r="E3" s="186"/>
      <c r="F3" s="186"/>
      <c r="G3" s="186"/>
      <c r="H3" s="186"/>
      <c r="I3" s="186"/>
    </row>
    <row r="4" spans="2:18" ht="12.75" customHeight="1"/>
    <row r="5" spans="2:18">
      <c r="B5" s="1" t="s">
        <v>0</v>
      </c>
      <c r="D5" s="200" t="s">
        <v>22</v>
      </c>
      <c r="E5" s="200"/>
      <c r="F5" s="200"/>
    </row>
    <row r="6" spans="2:18">
      <c r="B6" s="1" t="s">
        <v>1</v>
      </c>
      <c r="D6" s="3">
        <v>1980</v>
      </c>
      <c r="E6" s="3"/>
      <c r="F6" s="3"/>
    </row>
    <row r="7" spans="2:18" hidden="1" outlineLevel="1">
      <c r="B7" s="1" t="s">
        <v>2</v>
      </c>
      <c r="D7" s="3">
        <v>2</v>
      </c>
      <c r="E7" s="3"/>
      <c r="F7" s="3"/>
    </row>
    <row r="8" spans="2:18" hidden="1" outlineLevel="1">
      <c r="B8" s="1" t="s">
        <v>3</v>
      </c>
      <c r="D8" s="3">
        <v>18</v>
      </c>
      <c r="E8" s="3"/>
      <c r="F8" s="3"/>
    </row>
    <row r="9" spans="2:18" ht="30.75" hidden="1" customHeight="1" outlineLevel="1">
      <c r="B9" s="4" t="s">
        <v>4</v>
      </c>
      <c r="C9" s="37"/>
      <c r="D9" s="3" t="s">
        <v>23</v>
      </c>
      <c r="E9" s="3"/>
      <c r="F9" s="3"/>
    </row>
    <row r="10" spans="2:18" collapsed="1">
      <c r="B10" s="1" t="s">
        <v>5</v>
      </c>
      <c r="D10" s="16" t="s">
        <v>99</v>
      </c>
      <c r="E10" s="3"/>
      <c r="F10" s="3"/>
      <c r="J10" s="6"/>
    </row>
    <row r="11" spans="2:18" hidden="1" outlineLevel="1">
      <c r="B11" s="1" t="s">
        <v>6</v>
      </c>
      <c r="D11" s="3" t="s">
        <v>7</v>
      </c>
      <c r="E11" s="3"/>
      <c r="F11" s="3"/>
    </row>
    <row r="12" spans="2:18" ht="30.75" hidden="1" customHeight="1" outlineLevel="1">
      <c r="B12" s="4" t="s">
        <v>8</v>
      </c>
      <c r="C12" s="37"/>
      <c r="D12" s="201" t="s">
        <v>24</v>
      </c>
      <c r="E12" s="201"/>
      <c r="F12" s="3"/>
      <c r="J12" s="6"/>
    </row>
    <row r="13" spans="2:18" ht="31.5" customHeight="1" collapsed="1" thickBot="1">
      <c r="B13" s="187" t="s">
        <v>132</v>
      </c>
      <c r="C13" s="187"/>
      <c r="D13" s="187"/>
      <c r="E13" s="187"/>
      <c r="F13" s="187"/>
      <c r="G13" s="187"/>
      <c r="H13" s="187"/>
      <c r="I13" s="187"/>
      <c r="J13" s="124"/>
      <c r="K13" s="124"/>
      <c r="M13" s="6"/>
      <c r="N13" s="233" t="s">
        <v>133</v>
      </c>
      <c r="O13" s="233" t="s">
        <v>134</v>
      </c>
      <c r="P13" s="233" t="s">
        <v>135</v>
      </c>
      <c r="Q13" s="233" t="s">
        <v>136</v>
      </c>
    </row>
    <row r="14" spans="2:18" ht="27.75" customHeight="1">
      <c r="B14" s="188" t="s">
        <v>137</v>
      </c>
      <c r="C14" s="190" t="s">
        <v>138</v>
      </c>
      <c r="D14" s="190" t="s">
        <v>139</v>
      </c>
      <c r="E14" s="192" t="s">
        <v>140</v>
      </c>
      <c r="F14" s="194" t="s">
        <v>141</v>
      </c>
      <c r="G14" s="196" t="s">
        <v>142</v>
      </c>
      <c r="H14" s="197"/>
      <c r="I14" s="198" t="s">
        <v>163</v>
      </c>
      <c r="J14" s="125"/>
      <c r="K14" s="125"/>
      <c r="M14" s="6"/>
      <c r="N14" s="233"/>
      <c r="O14" s="233"/>
      <c r="P14" s="233"/>
      <c r="Q14" s="233"/>
    </row>
    <row r="15" spans="2:18" ht="45" customHeight="1" thickBot="1">
      <c r="B15" s="189"/>
      <c r="C15" s="191"/>
      <c r="D15" s="191"/>
      <c r="E15" s="193"/>
      <c r="F15" s="195"/>
      <c r="G15" s="48" t="s">
        <v>121</v>
      </c>
      <c r="H15" s="49" t="s">
        <v>122</v>
      </c>
      <c r="I15" s="199"/>
      <c r="J15" s="125"/>
      <c r="K15" s="125"/>
      <c r="N15" s="234">
        <v>45029.58</v>
      </c>
      <c r="O15" s="234">
        <v>50258.04</v>
      </c>
      <c r="P15" s="234">
        <f>42027.19*1.06</f>
        <v>44548.821400000008</v>
      </c>
      <c r="Q15" s="234">
        <f>46995.59*1.06</f>
        <v>49815.325400000002</v>
      </c>
      <c r="R15" s="232">
        <f>(N15+O15)/(P15+Q15)*100</f>
        <v>100.9786271919114</v>
      </c>
    </row>
    <row r="16" spans="2:18" ht="50.25" customHeight="1">
      <c r="B16" s="110" t="s">
        <v>143</v>
      </c>
      <c r="C16" s="51" t="s">
        <v>144</v>
      </c>
      <c r="D16" s="52" t="s">
        <v>145</v>
      </c>
      <c r="E16" s="53">
        <v>1.01</v>
      </c>
      <c r="F16" s="54">
        <v>1.05</v>
      </c>
      <c r="G16" s="55">
        <f>($N$15/$N$16*E16)+($O$15/$O$16*F16)</f>
        <v>10311.5743528578</v>
      </c>
      <c r="H16" s="56">
        <f>($P$15/$P$16*E16)+($Q$15/$Q$16*F16)</f>
        <v>10211.250748312785</v>
      </c>
      <c r="I16" s="57">
        <f>H16-G16</f>
        <v>-100.32360454501577</v>
      </c>
      <c r="J16" s="126"/>
      <c r="K16" s="126"/>
      <c r="L16" s="7"/>
      <c r="M16" s="58"/>
      <c r="N16" s="235">
        <v>8.9499999999999993</v>
      </c>
      <c r="O16" s="234">
        <v>10.09</v>
      </c>
      <c r="P16" s="235">
        <v>8.9499999999999993</v>
      </c>
      <c r="Q16" s="234">
        <v>10.09</v>
      </c>
    </row>
    <row r="17" spans="2:17" ht="51">
      <c r="B17" s="127" t="s">
        <v>129</v>
      </c>
      <c r="C17" s="51" t="s">
        <v>144</v>
      </c>
      <c r="D17" s="52" t="s">
        <v>145</v>
      </c>
      <c r="E17" s="41">
        <v>1.1299999999999999</v>
      </c>
      <c r="F17" s="115">
        <v>1.17</v>
      </c>
      <c r="G17" s="55">
        <f t="shared" ref="G17:G27" si="0">($N$15/$N$16*E17)+($O$15/$O$16*F17)</f>
        <v>11513.039938276184</v>
      </c>
      <c r="H17" s="56">
        <f t="shared" ref="H17:H21" si="1">($P$15/$P$16*E17)+($Q$15/$Q$16*F17)</f>
        <v>11401.005219864572</v>
      </c>
      <c r="I17" s="57">
        <f t="shared" ref="I17:I27" si="2">H17-G17</f>
        <v>-112.03471841161263</v>
      </c>
      <c r="J17" s="126"/>
      <c r="K17" s="126"/>
      <c r="L17" s="8"/>
      <c r="M17" s="8"/>
      <c r="N17" s="236"/>
      <c r="O17" s="237"/>
      <c r="P17" s="237"/>
      <c r="Q17" s="237"/>
    </row>
    <row r="18" spans="2:17" ht="52.5" customHeight="1">
      <c r="B18" s="62" t="s">
        <v>123</v>
      </c>
      <c r="C18" s="51" t="s">
        <v>144</v>
      </c>
      <c r="D18" s="52" t="s">
        <v>145</v>
      </c>
      <c r="E18" s="41">
        <v>0.28000000000000003</v>
      </c>
      <c r="F18" s="115">
        <v>0.27</v>
      </c>
      <c r="G18" s="55">
        <f t="shared" si="0"/>
        <v>2753.6099470796357</v>
      </c>
      <c r="H18" s="56">
        <f t="shared" si="1"/>
        <v>2726.722780432865</v>
      </c>
      <c r="I18" s="57">
        <f t="shared" si="2"/>
        <v>-26.887166646770766</v>
      </c>
      <c r="J18" s="126"/>
      <c r="K18" s="126"/>
      <c r="M18" s="6"/>
      <c r="N18" s="234"/>
      <c r="O18" s="234"/>
      <c r="P18" s="234"/>
      <c r="Q18" s="234"/>
    </row>
    <row r="19" spans="2:17" ht="25.5">
      <c r="B19" s="62" t="s">
        <v>146</v>
      </c>
      <c r="C19" s="59" t="s">
        <v>147</v>
      </c>
      <c r="D19" s="52" t="s">
        <v>145</v>
      </c>
      <c r="E19" s="41">
        <v>0</v>
      </c>
      <c r="F19" s="115">
        <v>0</v>
      </c>
      <c r="G19" s="55">
        <f t="shared" si="0"/>
        <v>0</v>
      </c>
      <c r="H19" s="56">
        <f t="shared" si="1"/>
        <v>0</v>
      </c>
      <c r="I19" s="57">
        <f t="shared" si="2"/>
        <v>0</v>
      </c>
      <c r="J19" s="126"/>
      <c r="K19" s="126"/>
      <c r="M19" s="6"/>
      <c r="N19" s="234"/>
      <c r="O19" s="234"/>
      <c r="P19" s="234"/>
      <c r="Q19" s="234"/>
    </row>
    <row r="20" spans="2:17" ht="51">
      <c r="B20" s="127" t="s">
        <v>124</v>
      </c>
      <c r="C20" s="51" t="s">
        <v>144</v>
      </c>
      <c r="D20" s="52" t="s">
        <v>145</v>
      </c>
      <c r="E20" s="41">
        <v>1.1399999999999999</v>
      </c>
      <c r="F20" s="115">
        <v>1.33</v>
      </c>
      <c r="G20" s="55">
        <f t="shared" si="0"/>
        <v>12360.308353843342</v>
      </c>
      <c r="H20" s="56">
        <f t="shared" si="1"/>
        <v>12240.716223646847</v>
      </c>
      <c r="I20" s="57">
        <f t="shared" si="2"/>
        <v>-119.59213019649542</v>
      </c>
      <c r="J20" s="126"/>
      <c r="K20" s="126"/>
      <c r="N20" s="234"/>
      <c r="O20" s="234"/>
      <c r="P20" s="234"/>
      <c r="Q20" s="234"/>
    </row>
    <row r="21" spans="2:17" ht="145.5" customHeight="1">
      <c r="B21" s="127" t="s">
        <v>125</v>
      </c>
      <c r="C21" s="51" t="s">
        <v>148</v>
      </c>
      <c r="D21" s="52" t="s">
        <v>145</v>
      </c>
      <c r="E21" s="41">
        <v>3.67</v>
      </c>
      <c r="F21" s="115">
        <v>3.33</v>
      </c>
      <c r="G21" s="55">
        <f t="shared" si="0"/>
        <v>35051.290911561315</v>
      </c>
      <c r="H21" s="56">
        <f t="shared" si="1"/>
        <v>34708.044046567709</v>
      </c>
      <c r="I21" s="57">
        <f t="shared" si="2"/>
        <v>-343.24686499360541</v>
      </c>
      <c r="J21" s="126"/>
      <c r="K21" s="126"/>
      <c r="L21" s="8"/>
      <c r="M21" s="60"/>
      <c r="N21" s="237"/>
      <c r="O21" s="237"/>
      <c r="P21" s="237"/>
      <c r="Q21" s="237"/>
    </row>
    <row r="22" spans="2:17" ht="27.75" customHeight="1">
      <c r="B22" s="62" t="s">
        <v>149</v>
      </c>
      <c r="C22" s="51" t="s">
        <v>147</v>
      </c>
      <c r="D22" s="52" t="s">
        <v>145</v>
      </c>
      <c r="E22" s="41">
        <v>1.94</v>
      </c>
      <c r="F22" s="115">
        <v>2</v>
      </c>
      <c r="G22" s="55">
        <v>19131.72</v>
      </c>
      <c r="H22" s="40">
        <v>19423.32</v>
      </c>
      <c r="I22" s="57">
        <f t="shared" si="2"/>
        <v>291.59999999999854</v>
      </c>
      <c r="J22" s="126"/>
      <c r="K22" s="126"/>
      <c r="N22" s="234"/>
      <c r="O22" s="234"/>
      <c r="P22" s="234"/>
      <c r="Q22" s="234"/>
    </row>
    <row r="23" spans="2:17" ht="108.75" customHeight="1">
      <c r="B23" s="127" t="s">
        <v>150</v>
      </c>
      <c r="C23" s="51" t="s">
        <v>144</v>
      </c>
      <c r="D23" s="52" t="s">
        <v>145</v>
      </c>
      <c r="E23" s="41">
        <v>0.22</v>
      </c>
      <c r="F23" s="115">
        <v>0.21</v>
      </c>
      <c r="G23" s="55">
        <f t="shared" si="0"/>
        <v>2152.8771543704429</v>
      </c>
      <c r="H23" s="56">
        <f t="shared" ref="H23" si="3">($P$15/$P$16*E23)+($Q$15/$Q$16*F23)</f>
        <v>2131.8455446569706</v>
      </c>
      <c r="I23" s="57">
        <f t="shared" si="2"/>
        <v>-21.031609713472335</v>
      </c>
      <c r="J23" s="126"/>
      <c r="K23" s="126"/>
      <c r="N23" s="234"/>
      <c r="O23" s="234"/>
      <c r="P23" s="234"/>
      <c r="Q23" s="234"/>
    </row>
    <row r="24" spans="2:17" ht="48">
      <c r="B24" s="62" t="s">
        <v>151</v>
      </c>
      <c r="C24" s="51" t="s">
        <v>144</v>
      </c>
      <c r="D24" s="52" t="s">
        <v>145</v>
      </c>
      <c r="E24" s="41">
        <v>4.0999999999999996</v>
      </c>
      <c r="F24" s="115">
        <v>4.0999999999999996</v>
      </c>
      <c r="G24" s="55">
        <v>41256.15</v>
      </c>
      <c r="H24" s="128">
        <v>107354</v>
      </c>
      <c r="I24" s="57">
        <f t="shared" si="2"/>
        <v>66097.850000000006</v>
      </c>
      <c r="J24" s="126"/>
      <c r="K24" s="126"/>
      <c r="M24" s="6"/>
      <c r="N24" s="234"/>
      <c r="O24" s="234"/>
      <c r="P24" s="234"/>
      <c r="Q24" s="234"/>
    </row>
    <row r="25" spans="2:17" ht="63.75">
      <c r="B25" s="127" t="s">
        <v>152</v>
      </c>
      <c r="C25" s="59" t="s">
        <v>148</v>
      </c>
      <c r="D25" s="52" t="s">
        <v>145</v>
      </c>
      <c r="E25" s="41">
        <v>0.71</v>
      </c>
      <c r="F25" s="115">
        <v>1.44</v>
      </c>
      <c r="G25" s="55">
        <f t="shared" si="0"/>
        <v>10744.78329317705</v>
      </c>
      <c r="H25" s="56">
        <f t="shared" ref="H25:H27" si="4">($P$15/$P$16*E25)+($Q$15/$Q$16*F25)</f>
        <v>10643.462639403582</v>
      </c>
      <c r="I25" s="57">
        <f t="shared" si="2"/>
        <v>-101.32065377346771</v>
      </c>
      <c r="J25" s="126"/>
      <c r="K25" s="126"/>
      <c r="L25" s="123"/>
      <c r="M25" s="6"/>
      <c r="N25" s="234"/>
      <c r="O25" s="234"/>
      <c r="P25" s="234"/>
      <c r="Q25" s="234"/>
    </row>
    <row r="26" spans="2:17" ht="63.75">
      <c r="B26" s="127" t="s">
        <v>126</v>
      </c>
      <c r="C26" s="59" t="s">
        <v>148</v>
      </c>
      <c r="D26" s="52" t="s">
        <v>145</v>
      </c>
      <c r="E26" s="41">
        <v>0.25</v>
      </c>
      <c r="F26" s="115">
        <v>0.83</v>
      </c>
      <c r="G26" s="55">
        <f t="shared" si="0"/>
        <v>5392.0189322909455</v>
      </c>
      <c r="H26" s="56">
        <f t="shared" si="4"/>
        <v>5342.1723673021024</v>
      </c>
      <c r="I26" s="57">
        <f t="shared" si="2"/>
        <v>-49.846564988843056</v>
      </c>
      <c r="J26" s="126"/>
      <c r="K26" s="126"/>
      <c r="L26" s="64"/>
      <c r="M26" s="6"/>
      <c r="N26" s="238"/>
      <c r="O26" s="238"/>
      <c r="P26" s="234"/>
      <c r="Q26" s="234"/>
    </row>
    <row r="27" spans="2:17">
      <c r="B27" s="62" t="s">
        <v>127</v>
      </c>
      <c r="C27" s="129" t="s">
        <v>148</v>
      </c>
      <c r="D27" s="52" t="s">
        <v>145</v>
      </c>
      <c r="E27" s="41">
        <v>0.54</v>
      </c>
      <c r="F27" s="115">
        <v>0.46</v>
      </c>
      <c r="G27" s="55">
        <f t="shared" si="0"/>
        <v>5008.1171165432897</v>
      </c>
      <c r="H27" s="56">
        <f t="shared" si="4"/>
        <v>4958.9272298125816</v>
      </c>
      <c r="I27" s="57">
        <f t="shared" si="2"/>
        <v>-49.189886730708167</v>
      </c>
      <c r="J27" s="126"/>
      <c r="K27" s="126"/>
      <c r="N27" s="234"/>
      <c r="O27" s="234"/>
      <c r="P27" s="234"/>
      <c r="Q27" s="234"/>
    </row>
    <row r="28" spans="2:17" ht="16.5" thickBot="1">
      <c r="B28" s="33" t="s">
        <v>128</v>
      </c>
      <c r="C28" s="130"/>
      <c r="D28" s="130"/>
      <c r="E28" s="34">
        <f>SUM(E16:E27)</f>
        <v>14.989999999999998</v>
      </c>
      <c r="F28" s="131">
        <f>SUM(F16:F27)</f>
        <v>16.190000000000001</v>
      </c>
      <c r="G28" s="132">
        <f>SUM(G16:G27)</f>
        <v>155675.49000000002</v>
      </c>
      <c r="H28" s="133">
        <f>SUM(H16:H27)</f>
        <v>221141.46679999999</v>
      </c>
      <c r="I28" s="134">
        <f>H28-G28</f>
        <v>65465.976799999975</v>
      </c>
      <c r="J28" s="135"/>
      <c r="K28" s="135"/>
      <c r="N28" s="234"/>
      <c r="O28" s="234"/>
      <c r="P28" s="234"/>
      <c r="Q28" s="234"/>
    </row>
    <row r="29" spans="2:17">
      <c r="B29" s="6"/>
      <c r="C29" s="6"/>
      <c r="D29" s="6"/>
      <c r="E29" s="29"/>
      <c r="F29" s="29"/>
      <c r="G29" s="29"/>
      <c r="H29" s="29"/>
      <c r="I29" s="2"/>
      <c r="J29" s="2"/>
      <c r="K29" s="2"/>
      <c r="N29" s="234"/>
      <c r="O29" s="234"/>
      <c r="P29" s="234"/>
      <c r="Q29" s="234"/>
    </row>
    <row r="30" spans="2:17" ht="16.5" thickBot="1">
      <c r="B30" s="207" t="s">
        <v>153</v>
      </c>
      <c r="C30" s="207"/>
      <c r="D30" s="207"/>
      <c r="E30" s="207"/>
      <c r="F30" s="207"/>
      <c r="G30" s="207"/>
      <c r="H30" s="207"/>
      <c r="I30" s="207"/>
      <c r="J30" s="121"/>
      <c r="K30" s="121"/>
      <c r="N30" s="234"/>
      <c r="O30" s="234"/>
      <c r="P30" s="234"/>
      <c r="Q30" s="234"/>
    </row>
    <row r="31" spans="2:17" ht="44.25" customHeight="1">
      <c r="B31" s="20"/>
      <c r="C31" s="65"/>
      <c r="D31" s="208" t="s">
        <v>154</v>
      </c>
      <c r="E31" s="209"/>
      <c r="F31" s="210" t="s">
        <v>10</v>
      </c>
      <c r="G31" s="211"/>
      <c r="H31" s="210" t="s">
        <v>11</v>
      </c>
      <c r="I31" s="212"/>
      <c r="J31" s="123"/>
      <c r="K31" s="123"/>
      <c r="L31" s="24"/>
      <c r="M31" s="9"/>
      <c r="N31" s="238"/>
      <c r="O31" s="238"/>
      <c r="P31" s="238"/>
      <c r="Q31" s="238"/>
    </row>
    <row r="32" spans="2:17">
      <c r="B32" s="21" t="s">
        <v>12</v>
      </c>
      <c r="C32" s="67"/>
      <c r="D32" s="203">
        <f>F32+H32</f>
        <v>155675.49</v>
      </c>
      <c r="E32" s="204"/>
      <c r="F32" s="203">
        <f>45029.58+50258.04+19131.72</f>
        <v>114419.34</v>
      </c>
      <c r="G32" s="204"/>
      <c r="H32" s="203">
        <f>G24</f>
        <v>41256.15</v>
      </c>
      <c r="I32" s="213"/>
      <c r="J32" s="122"/>
      <c r="K32" s="122"/>
      <c r="L32" s="10"/>
      <c r="M32" s="10"/>
      <c r="N32" s="234"/>
      <c r="O32" s="234"/>
      <c r="P32" s="234"/>
      <c r="Q32" s="234"/>
    </row>
    <row r="33" spans="2:17">
      <c r="B33" s="21" t="s">
        <v>13</v>
      </c>
      <c r="C33" s="67"/>
      <c r="D33" s="203">
        <f>F33+H33</f>
        <v>156642.79999999999</v>
      </c>
      <c r="E33" s="204"/>
      <c r="F33" s="203">
        <f>45517.33+50802.42+18620.02</f>
        <v>114939.77</v>
      </c>
      <c r="G33" s="204"/>
      <c r="H33" s="203">
        <v>41703.03</v>
      </c>
      <c r="I33" s="213"/>
      <c r="J33" s="122"/>
      <c r="K33" s="122"/>
      <c r="L33" s="25"/>
      <c r="M33" s="10"/>
      <c r="N33" s="234"/>
      <c r="O33" s="234"/>
      <c r="P33" s="234"/>
      <c r="Q33" s="234"/>
    </row>
    <row r="34" spans="2:17" ht="16.5" thickBot="1">
      <c r="B34" s="22" t="s">
        <v>114</v>
      </c>
      <c r="C34" s="69"/>
      <c r="D34" s="205">
        <f>F34+H34</f>
        <v>221141.46680000002</v>
      </c>
      <c r="E34" s="206"/>
      <c r="F34" s="205">
        <f>H16+H17+H18+H19+H20+H21+H22+H23+H25+H26+H27</f>
        <v>113787.46680000002</v>
      </c>
      <c r="G34" s="206"/>
      <c r="H34" s="205">
        <f>H24</f>
        <v>107354</v>
      </c>
      <c r="I34" s="214"/>
      <c r="J34" s="122"/>
      <c r="K34" s="122"/>
      <c r="L34" s="10"/>
      <c r="M34" s="10"/>
      <c r="N34" s="234"/>
      <c r="O34" s="234"/>
      <c r="P34" s="234"/>
      <c r="Q34" s="234"/>
    </row>
    <row r="35" spans="2:17" ht="27" thickBot="1">
      <c r="B35" s="23" t="s">
        <v>115</v>
      </c>
      <c r="C35" s="72"/>
      <c r="D35" s="184">
        <f>F35+H35</f>
        <v>-64498.666800000021</v>
      </c>
      <c r="E35" s="185"/>
      <c r="F35" s="182">
        <f>F33-F34</f>
        <v>1152.3031999999803</v>
      </c>
      <c r="G35" s="183"/>
      <c r="H35" s="182">
        <f>H33-H34</f>
        <v>-65650.97</v>
      </c>
      <c r="I35" s="202"/>
      <c r="J35" s="122"/>
      <c r="K35" s="122"/>
      <c r="L35" s="10"/>
      <c r="M35" s="10"/>
      <c r="N35" s="234"/>
      <c r="O35" s="234"/>
      <c r="P35" s="234"/>
      <c r="Q35" s="234"/>
    </row>
    <row r="36" spans="2:17" ht="34.5" customHeight="1">
      <c r="B36" s="117" t="s">
        <v>116</v>
      </c>
      <c r="C36" s="117"/>
      <c r="D36" s="136"/>
      <c r="E36" s="180" t="s">
        <v>117</v>
      </c>
      <c r="F36" s="180"/>
      <c r="G36" s="178" t="s">
        <v>14</v>
      </c>
      <c r="H36" s="178"/>
      <c r="I36" s="117"/>
      <c r="J36" s="117"/>
      <c r="K36" s="117"/>
      <c r="L36" s="8"/>
      <c r="M36" s="8"/>
      <c r="N36" s="237"/>
      <c r="O36" s="237"/>
      <c r="P36" s="237"/>
      <c r="Q36" s="237"/>
    </row>
    <row r="37" spans="2:17" ht="11.25" customHeight="1">
      <c r="B37" s="117"/>
      <c r="C37" s="117"/>
      <c r="D37" s="117"/>
      <c r="E37" s="179" t="s">
        <v>15</v>
      </c>
      <c r="F37" s="179"/>
      <c r="G37" s="181"/>
      <c r="H37" s="181"/>
      <c r="I37" s="116"/>
      <c r="J37" s="116"/>
      <c r="K37" s="116"/>
      <c r="L37" s="8"/>
      <c r="M37" s="8"/>
      <c r="N37" s="237"/>
      <c r="O37" s="237"/>
      <c r="P37" s="237"/>
      <c r="Q37" s="237"/>
    </row>
    <row r="38" spans="2:17">
      <c r="B38" s="117" t="s">
        <v>118</v>
      </c>
      <c r="C38" s="117"/>
      <c r="D38" s="117"/>
      <c r="E38" s="177" t="s">
        <v>117</v>
      </c>
      <c r="F38" s="177"/>
      <c r="G38" s="178" t="s">
        <v>131</v>
      </c>
      <c r="H38" s="178"/>
      <c r="I38" s="117"/>
      <c r="J38" s="117"/>
      <c r="K38" s="117"/>
      <c r="L38" s="8"/>
      <c r="M38" s="8"/>
      <c r="N38" s="237"/>
      <c r="O38" s="237"/>
      <c r="P38" s="237"/>
      <c r="Q38" s="237"/>
    </row>
    <row r="39" spans="2:17" ht="9.75" customHeight="1">
      <c r="B39" s="117"/>
      <c r="C39" s="117"/>
      <c r="D39" s="117"/>
      <c r="E39" s="179" t="s">
        <v>15</v>
      </c>
      <c r="F39" s="179"/>
      <c r="G39" s="178"/>
      <c r="H39" s="178"/>
      <c r="I39" s="117"/>
      <c r="J39" s="117"/>
      <c r="K39" s="117"/>
      <c r="N39" s="234"/>
      <c r="O39" s="234"/>
      <c r="P39" s="234"/>
      <c r="Q39" s="234"/>
    </row>
    <row r="40" spans="2:17">
      <c r="B40" s="117" t="s">
        <v>119</v>
      </c>
      <c r="C40" s="117"/>
      <c r="D40" s="117"/>
      <c r="E40" s="177" t="s">
        <v>117</v>
      </c>
      <c r="F40" s="177"/>
      <c r="G40" s="178" t="s">
        <v>157</v>
      </c>
      <c r="H40" s="178"/>
      <c r="I40" s="117"/>
      <c r="J40" s="117"/>
      <c r="K40" s="117"/>
      <c r="N40" s="234"/>
      <c r="O40" s="234"/>
      <c r="P40" s="234"/>
      <c r="Q40" s="234"/>
    </row>
    <row r="41" spans="2:17" ht="8.25" customHeight="1">
      <c r="B41" s="27"/>
      <c r="C41" s="27"/>
      <c r="D41" s="27"/>
      <c r="E41" s="179" t="s">
        <v>15</v>
      </c>
      <c r="F41" s="179"/>
      <c r="G41" s="118"/>
      <c r="H41" s="137"/>
      <c r="I41" s="119"/>
      <c r="J41" s="119"/>
      <c r="K41" s="119"/>
      <c r="N41" s="234"/>
      <c r="O41" s="234"/>
      <c r="P41" s="234"/>
      <c r="Q41" s="234"/>
    </row>
    <row r="42" spans="2:17">
      <c r="B42" s="117" t="s">
        <v>120</v>
      </c>
      <c r="C42" s="117"/>
      <c r="D42" s="117"/>
      <c r="E42" s="177" t="s">
        <v>117</v>
      </c>
      <c r="F42" s="177"/>
      <c r="G42" s="178" t="s">
        <v>93</v>
      </c>
      <c r="H42" s="178"/>
    </row>
    <row r="43" spans="2:17" ht="9" customHeight="1">
      <c r="B43" s="138"/>
      <c r="C43" s="138"/>
      <c r="D43" s="138"/>
      <c r="E43" s="179" t="s">
        <v>15</v>
      </c>
      <c r="F43" s="179"/>
      <c r="G43" s="179"/>
      <c r="H43" s="179"/>
    </row>
    <row r="44" spans="2:17">
      <c r="E44" s="120"/>
      <c r="F44" s="120"/>
    </row>
  </sheetData>
  <mergeCells count="42">
    <mergeCell ref="E36:F36"/>
    <mergeCell ref="G36:H36"/>
    <mergeCell ref="E37:F37"/>
    <mergeCell ref="G37:H37"/>
    <mergeCell ref="E38:F38"/>
    <mergeCell ref="G38:H38"/>
    <mergeCell ref="H33:I33"/>
    <mergeCell ref="D34:E34"/>
    <mergeCell ref="F34:G34"/>
    <mergeCell ref="H34:I34"/>
    <mergeCell ref="D35:E35"/>
    <mergeCell ref="F35:G35"/>
    <mergeCell ref="H35:I35"/>
    <mergeCell ref="D33:E33"/>
    <mergeCell ref="F33:G33"/>
    <mergeCell ref="B13:I13"/>
    <mergeCell ref="B14:B15"/>
    <mergeCell ref="C14:C15"/>
    <mergeCell ref="D14:D15"/>
    <mergeCell ref="E14:E15"/>
    <mergeCell ref="F14:F15"/>
    <mergeCell ref="G14:H14"/>
    <mergeCell ref="I14:I15"/>
    <mergeCell ref="B2:I3"/>
    <mergeCell ref="D5:F5"/>
    <mergeCell ref="D12:E12"/>
    <mergeCell ref="B30:I30"/>
    <mergeCell ref="D31:E31"/>
    <mergeCell ref="F31:G31"/>
    <mergeCell ref="H31:I31"/>
    <mergeCell ref="D32:E32"/>
    <mergeCell ref="F32:G32"/>
    <mergeCell ref="H32:I32"/>
    <mergeCell ref="E42:F42"/>
    <mergeCell ref="G42:H42"/>
    <mergeCell ref="E43:F43"/>
    <mergeCell ref="E39:F39"/>
    <mergeCell ref="G39:H39"/>
    <mergeCell ref="E40:F40"/>
    <mergeCell ref="G40:H40"/>
    <mergeCell ref="E41:F41"/>
    <mergeCell ref="G43:H43"/>
  </mergeCells>
  <printOptions horizontalCentered="1"/>
  <pageMargins left="0.19685039370078741" right="0.19685039370078741" top="0.15748031496062992" bottom="0.31496062992125984" header="0.31496062992125984" footer="0.31496062992125984"/>
  <pageSetup paperSize="9" scale="4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B1:R44"/>
  <sheetViews>
    <sheetView zoomScale="110" zoomScaleNormal="110" workbookViewId="0">
      <selection activeCell="B1" sqref="B1:I1"/>
    </sheetView>
  </sheetViews>
  <sheetFormatPr defaultColWidth="9.140625" defaultRowHeight="15.75" outlineLevelRow="1"/>
  <cols>
    <col min="1" max="1" width="2.85546875" style="1" customWidth="1"/>
    <col min="2" max="2" width="52.140625" style="1" customWidth="1"/>
    <col min="3" max="3" width="12.7109375" style="29" customWidth="1"/>
    <col min="4" max="4" width="9.42578125" style="2" customWidth="1"/>
    <col min="5" max="5" width="11" style="2" customWidth="1"/>
    <col min="6" max="6" width="10.140625" style="2" customWidth="1"/>
    <col min="7" max="7" width="10" style="1" customWidth="1"/>
    <col min="8" max="8" width="10.42578125" style="1" customWidth="1"/>
    <col min="9" max="9" width="11.5703125" style="1" customWidth="1"/>
    <col min="10" max="10" width="12.28515625" style="1" customWidth="1"/>
    <col min="11" max="13" width="9.140625" style="1"/>
    <col min="14" max="14" width="12.28515625" style="232" customWidth="1"/>
    <col min="15" max="15" width="11.5703125" style="232" customWidth="1"/>
    <col min="16" max="16" width="13.5703125" style="232" customWidth="1"/>
    <col min="17" max="17" width="12.85546875" style="232" customWidth="1"/>
    <col min="18" max="18" width="9.140625" style="232"/>
    <col min="19" max="16384" width="9.140625" style="1"/>
  </cols>
  <sheetData>
    <row r="1" spans="2:18">
      <c r="B1" s="137"/>
      <c r="C1" s="137"/>
      <c r="D1" s="137"/>
      <c r="E1" s="137"/>
      <c r="F1" s="137"/>
      <c r="G1" s="137"/>
      <c r="H1" s="137"/>
      <c r="I1" s="137"/>
    </row>
    <row r="2" spans="2:18" ht="19.5" customHeight="1">
      <c r="B2" s="186" t="s">
        <v>161</v>
      </c>
      <c r="C2" s="186"/>
      <c r="D2" s="186"/>
      <c r="E2" s="186"/>
      <c r="F2" s="186"/>
      <c r="G2" s="186"/>
      <c r="H2" s="186"/>
      <c r="I2" s="186"/>
    </row>
    <row r="3" spans="2:18" ht="20.25" customHeight="1">
      <c r="B3" s="186"/>
      <c r="C3" s="186"/>
      <c r="D3" s="186"/>
      <c r="E3" s="186"/>
      <c r="F3" s="186"/>
      <c r="G3" s="186"/>
      <c r="H3" s="186"/>
      <c r="I3" s="186"/>
    </row>
    <row r="4" spans="2:18" ht="14.25" customHeight="1"/>
    <row r="5" spans="2:18">
      <c r="B5" s="1" t="s">
        <v>0</v>
      </c>
      <c r="D5" s="200" t="s">
        <v>25</v>
      </c>
      <c r="E5" s="200"/>
      <c r="F5" s="200"/>
    </row>
    <row r="6" spans="2:18">
      <c r="B6" s="1" t="s">
        <v>1</v>
      </c>
      <c r="D6" s="11">
        <v>1980</v>
      </c>
      <c r="E6" s="11"/>
      <c r="F6" s="11"/>
    </row>
    <row r="7" spans="2:18" hidden="1" outlineLevel="1">
      <c r="B7" s="1" t="s">
        <v>2</v>
      </c>
      <c r="D7" s="11">
        <v>2</v>
      </c>
      <c r="E7" s="11"/>
      <c r="F7" s="11"/>
    </row>
    <row r="8" spans="2:18" hidden="1" outlineLevel="1">
      <c r="B8" s="1" t="s">
        <v>3</v>
      </c>
      <c r="D8" s="11">
        <v>17</v>
      </c>
      <c r="E8" s="11"/>
      <c r="F8" s="11"/>
    </row>
    <row r="9" spans="2:18" ht="30.75" hidden="1" customHeight="1" outlineLevel="1">
      <c r="B9" s="4" t="s">
        <v>4</v>
      </c>
      <c r="C9" s="37"/>
      <c r="D9" s="11" t="s">
        <v>26</v>
      </c>
      <c r="E9" s="11"/>
      <c r="F9" s="11"/>
    </row>
    <row r="10" spans="2:18" collapsed="1">
      <c r="B10" s="1" t="s">
        <v>5</v>
      </c>
      <c r="D10" s="16" t="s">
        <v>100</v>
      </c>
      <c r="E10" s="11"/>
      <c r="F10" s="11"/>
      <c r="J10" s="6"/>
    </row>
    <row r="11" spans="2:18" hidden="1" outlineLevel="1">
      <c r="B11" s="1" t="s">
        <v>6</v>
      </c>
      <c r="D11" s="11" t="s">
        <v>7</v>
      </c>
      <c r="E11" s="11"/>
      <c r="F11" s="11"/>
    </row>
    <row r="12" spans="2:18" ht="30.75" hidden="1" customHeight="1" outlineLevel="1">
      <c r="B12" s="4" t="s">
        <v>8</v>
      </c>
      <c r="C12" s="37"/>
      <c r="D12" s="201" t="s">
        <v>27</v>
      </c>
      <c r="E12" s="201"/>
      <c r="F12" s="11"/>
      <c r="J12" s="6"/>
    </row>
    <row r="13" spans="2:18" ht="31.5" customHeight="1" collapsed="1" thickBot="1">
      <c r="B13" s="187" t="s">
        <v>132</v>
      </c>
      <c r="C13" s="187"/>
      <c r="D13" s="187"/>
      <c r="E13" s="187"/>
      <c r="F13" s="187"/>
      <c r="G13" s="187"/>
      <c r="H13" s="187"/>
      <c r="I13" s="187"/>
      <c r="J13" s="124"/>
      <c r="K13" s="124"/>
      <c r="M13" s="6"/>
      <c r="N13" s="233" t="s">
        <v>133</v>
      </c>
      <c r="O13" s="233" t="s">
        <v>134</v>
      </c>
      <c r="P13" s="233" t="s">
        <v>135</v>
      </c>
      <c r="Q13" s="233" t="s">
        <v>136</v>
      </c>
    </row>
    <row r="14" spans="2:18" ht="27.75" customHeight="1">
      <c r="B14" s="188" t="s">
        <v>137</v>
      </c>
      <c r="C14" s="190" t="s">
        <v>138</v>
      </c>
      <c r="D14" s="190" t="s">
        <v>139</v>
      </c>
      <c r="E14" s="192" t="s">
        <v>140</v>
      </c>
      <c r="F14" s="194" t="s">
        <v>141</v>
      </c>
      <c r="G14" s="196" t="s">
        <v>142</v>
      </c>
      <c r="H14" s="197"/>
      <c r="I14" s="198" t="s">
        <v>163</v>
      </c>
      <c r="J14" s="125"/>
      <c r="K14" s="125"/>
      <c r="M14" s="6"/>
      <c r="N14" s="233"/>
      <c r="O14" s="233"/>
      <c r="P14" s="233"/>
      <c r="Q14" s="233"/>
    </row>
    <row r="15" spans="2:18" ht="45" customHeight="1" thickBot="1">
      <c r="B15" s="189"/>
      <c r="C15" s="191"/>
      <c r="D15" s="191"/>
      <c r="E15" s="193"/>
      <c r="F15" s="195"/>
      <c r="G15" s="48" t="s">
        <v>121</v>
      </c>
      <c r="H15" s="49" t="s">
        <v>122</v>
      </c>
      <c r="I15" s="199"/>
      <c r="J15" s="125"/>
      <c r="K15" s="125"/>
      <c r="N15" s="234">
        <v>45366.14</v>
      </c>
      <c r="O15" s="234">
        <v>53146.57</v>
      </c>
      <c r="P15" s="234">
        <f>43133.44*1.07</f>
        <v>46152.780800000008</v>
      </c>
      <c r="Q15" s="234">
        <f>48232.61*1.07</f>
        <v>51608.892700000004</v>
      </c>
      <c r="R15" s="232">
        <f>(N15+O15)/(P15+Q15)*100</f>
        <v>100.76823204136332</v>
      </c>
    </row>
    <row r="16" spans="2:18" ht="50.25" customHeight="1">
      <c r="B16" s="110" t="s">
        <v>143</v>
      </c>
      <c r="C16" s="51" t="s">
        <v>144</v>
      </c>
      <c r="D16" s="52" t="s">
        <v>145</v>
      </c>
      <c r="E16" s="53">
        <v>1.01</v>
      </c>
      <c r="F16" s="54">
        <v>1.05</v>
      </c>
      <c r="G16" s="55">
        <f>($N$15/$N$16*E16)+($O$15/$O$16*F16)</f>
        <v>11009.276271800949</v>
      </c>
      <c r="H16" s="56">
        <f>($P$15/$P$16*E16)+($Q$15/$Q$16*F16)</f>
        <v>10941.956080419433</v>
      </c>
      <c r="I16" s="57">
        <f>H16-G16</f>
        <v>-67.320191381515542</v>
      </c>
      <c r="J16" s="126"/>
      <c r="K16" s="126"/>
      <c r="L16" s="7"/>
      <c r="M16" s="58"/>
      <c r="N16" s="235">
        <v>8.44</v>
      </c>
      <c r="O16" s="234">
        <v>10</v>
      </c>
      <c r="P16" s="235">
        <v>8.44</v>
      </c>
      <c r="Q16" s="234">
        <v>10</v>
      </c>
    </row>
    <row r="17" spans="2:17" ht="51">
      <c r="B17" s="127" t="s">
        <v>129</v>
      </c>
      <c r="C17" s="51" t="s">
        <v>144</v>
      </c>
      <c r="D17" s="52" t="s">
        <v>145</v>
      </c>
      <c r="E17" s="41">
        <v>1.1299999999999999</v>
      </c>
      <c r="F17" s="115">
        <v>1.17</v>
      </c>
      <c r="G17" s="55">
        <f t="shared" ref="G17:G27" si="0">($N$15/$N$16*E17)+($O$15/$O$16*F17)</f>
        <v>12292.051320331753</v>
      </c>
      <c r="H17" s="56">
        <f t="shared" ref="H17:H21" si="1">($P$15/$P$16*E17)+($Q$15/$Q$16*F17)</f>
        <v>12217.463467700949</v>
      </c>
      <c r="I17" s="57">
        <f t="shared" ref="I17:I27" si="2">H17-G17</f>
        <v>-74.587852630804264</v>
      </c>
      <c r="J17" s="126"/>
      <c r="K17" s="126"/>
      <c r="L17" s="8"/>
      <c r="M17" s="8"/>
      <c r="N17" s="236"/>
      <c r="O17" s="237"/>
      <c r="P17" s="237"/>
      <c r="Q17" s="237"/>
    </row>
    <row r="18" spans="2:17" ht="52.5" customHeight="1">
      <c r="B18" s="62" t="s">
        <v>123</v>
      </c>
      <c r="C18" s="51" t="s">
        <v>144</v>
      </c>
      <c r="D18" s="52" t="s">
        <v>145</v>
      </c>
      <c r="E18" s="41">
        <v>0.28000000000000003</v>
      </c>
      <c r="F18" s="115">
        <v>0.27</v>
      </c>
      <c r="G18" s="55">
        <f t="shared" si="0"/>
        <v>2939.9952099052134</v>
      </c>
      <c r="H18" s="56">
        <f t="shared" si="1"/>
        <v>2924.5750109568726</v>
      </c>
      <c r="I18" s="57">
        <f t="shared" si="2"/>
        <v>-15.42019894834084</v>
      </c>
      <c r="J18" s="126"/>
      <c r="K18" s="126"/>
      <c r="M18" s="6"/>
      <c r="N18" s="234"/>
      <c r="O18" s="234"/>
      <c r="P18" s="234"/>
      <c r="Q18" s="234"/>
    </row>
    <row r="19" spans="2:17" ht="25.5">
      <c r="B19" s="62" t="s">
        <v>146</v>
      </c>
      <c r="C19" s="59" t="s">
        <v>147</v>
      </c>
      <c r="D19" s="52" t="s">
        <v>145</v>
      </c>
      <c r="E19" s="41">
        <v>0</v>
      </c>
      <c r="F19" s="115">
        <v>0</v>
      </c>
      <c r="G19" s="55">
        <f t="shared" si="0"/>
        <v>0</v>
      </c>
      <c r="H19" s="56">
        <f t="shared" si="1"/>
        <v>0</v>
      </c>
      <c r="I19" s="57">
        <f t="shared" si="2"/>
        <v>0</v>
      </c>
      <c r="J19" s="126"/>
      <c r="K19" s="126"/>
      <c r="M19" s="6"/>
      <c r="N19" s="234"/>
      <c r="O19" s="234"/>
      <c r="P19" s="234"/>
      <c r="Q19" s="234"/>
    </row>
    <row r="20" spans="2:17" ht="51">
      <c r="B20" s="127" t="s">
        <v>124</v>
      </c>
      <c r="C20" s="51" t="s">
        <v>144</v>
      </c>
      <c r="D20" s="52" t="s">
        <v>145</v>
      </c>
      <c r="E20" s="41">
        <v>1.1399999999999999</v>
      </c>
      <c r="F20" s="115">
        <v>1.33</v>
      </c>
      <c r="G20" s="55">
        <f t="shared" si="0"/>
        <v>13196.147791042655</v>
      </c>
      <c r="H20" s="56">
        <f t="shared" si="1"/>
        <v>13097.88914047441</v>
      </c>
      <c r="I20" s="57">
        <f t="shared" si="2"/>
        <v>-98.258650568244775</v>
      </c>
      <c r="J20" s="126"/>
      <c r="K20" s="126"/>
      <c r="N20" s="234"/>
      <c r="O20" s="234"/>
      <c r="P20" s="234"/>
      <c r="Q20" s="234"/>
    </row>
    <row r="21" spans="2:17" ht="145.5" customHeight="1">
      <c r="B21" s="127" t="s">
        <v>125</v>
      </c>
      <c r="C21" s="51" t="s">
        <v>148</v>
      </c>
      <c r="D21" s="52" t="s">
        <v>145</v>
      </c>
      <c r="E21" s="41">
        <v>3.67</v>
      </c>
      <c r="F21" s="115">
        <v>3.33</v>
      </c>
      <c r="G21" s="55">
        <f t="shared" si="0"/>
        <v>37424.553520900474</v>
      </c>
      <c r="H21" s="56">
        <f t="shared" si="1"/>
        <v>37254.565242559722</v>
      </c>
      <c r="I21" s="57">
        <f t="shared" si="2"/>
        <v>-169.988278340752</v>
      </c>
      <c r="J21" s="126"/>
      <c r="K21" s="126"/>
      <c r="L21" s="8"/>
      <c r="M21" s="60"/>
      <c r="N21" s="237"/>
      <c r="O21" s="237"/>
      <c r="P21" s="237"/>
      <c r="Q21" s="237"/>
    </row>
    <row r="22" spans="2:17" ht="27.75" customHeight="1">
      <c r="B22" s="62" t="s">
        <v>149</v>
      </c>
      <c r="C22" s="51" t="s">
        <v>147</v>
      </c>
      <c r="D22" s="52" t="s">
        <v>145</v>
      </c>
      <c r="E22" s="41">
        <v>1.94</v>
      </c>
      <c r="F22" s="115">
        <v>2</v>
      </c>
      <c r="G22" s="55">
        <v>19621.759999999998</v>
      </c>
      <c r="H22" s="40">
        <v>19934.580000000002</v>
      </c>
      <c r="I22" s="57">
        <f t="shared" si="2"/>
        <v>312.82000000000335</v>
      </c>
      <c r="J22" s="126"/>
      <c r="K22" s="126"/>
      <c r="N22" s="234"/>
      <c r="O22" s="234"/>
      <c r="P22" s="234"/>
      <c r="Q22" s="234"/>
    </row>
    <row r="23" spans="2:17" ht="108.75" customHeight="1">
      <c r="B23" s="127" t="s">
        <v>150</v>
      </c>
      <c r="C23" s="51" t="s">
        <v>144</v>
      </c>
      <c r="D23" s="52" t="s">
        <v>145</v>
      </c>
      <c r="E23" s="41">
        <v>0.22</v>
      </c>
      <c r="F23" s="115">
        <v>0.21</v>
      </c>
      <c r="G23" s="55">
        <f t="shared" si="0"/>
        <v>2298.6076856398104</v>
      </c>
      <c r="H23" s="56">
        <f t="shared" ref="H23" si="3">($P$15/$P$16*E23)+($Q$15/$Q$16*F23)</f>
        <v>2286.8213173161139</v>
      </c>
      <c r="I23" s="57">
        <f t="shared" si="2"/>
        <v>-11.786368323696479</v>
      </c>
      <c r="J23" s="126"/>
      <c r="K23" s="126"/>
      <c r="N23" s="234"/>
      <c r="O23" s="234"/>
      <c r="P23" s="234"/>
      <c r="Q23" s="234"/>
    </row>
    <row r="24" spans="2:17" ht="48">
      <c r="B24" s="62" t="s">
        <v>151</v>
      </c>
      <c r="C24" s="51" t="s">
        <v>144</v>
      </c>
      <c r="D24" s="52" t="s">
        <v>145</v>
      </c>
      <c r="E24" s="41">
        <v>0</v>
      </c>
      <c r="F24" s="115">
        <v>3.02</v>
      </c>
      <c r="G24" s="55">
        <v>32427.4</v>
      </c>
      <c r="H24" s="128">
        <v>30310</v>
      </c>
      <c r="I24" s="57">
        <f t="shared" si="2"/>
        <v>-2117.4000000000015</v>
      </c>
      <c r="J24" s="126"/>
      <c r="K24" s="126"/>
      <c r="M24" s="6"/>
      <c r="N24" s="234"/>
      <c r="O24" s="234"/>
      <c r="P24" s="234"/>
      <c r="Q24" s="234"/>
    </row>
    <row r="25" spans="2:17" ht="63.75">
      <c r="B25" s="127" t="s">
        <v>152</v>
      </c>
      <c r="C25" s="59" t="s">
        <v>148</v>
      </c>
      <c r="D25" s="52" t="s">
        <v>145</v>
      </c>
      <c r="E25" s="41">
        <v>0.71</v>
      </c>
      <c r="F25" s="115">
        <v>1.44</v>
      </c>
      <c r="G25" s="55">
        <f t="shared" si="0"/>
        <v>11469.451980473934</v>
      </c>
      <c r="H25" s="56">
        <f t="shared" ref="H25:H27" si="4">($P$15/$P$16*E25)+($Q$15/$Q$16*F25)</f>
        <v>11314.201208515642</v>
      </c>
      <c r="I25" s="57">
        <f t="shared" si="2"/>
        <v>-155.25077195829181</v>
      </c>
      <c r="J25" s="126"/>
      <c r="K25" s="126"/>
      <c r="L25" s="123"/>
      <c r="M25" s="6"/>
      <c r="N25" s="234"/>
      <c r="O25" s="234"/>
      <c r="P25" s="234"/>
      <c r="Q25" s="234"/>
    </row>
    <row r="26" spans="2:17" ht="63.75">
      <c r="B26" s="127" t="s">
        <v>126</v>
      </c>
      <c r="C26" s="59" t="s">
        <v>148</v>
      </c>
      <c r="D26" s="52" t="s">
        <v>145</v>
      </c>
      <c r="E26" s="41">
        <v>0.25</v>
      </c>
      <c r="F26" s="115">
        <v>0.83</v>
      </c>
      <c r="G26" s="55">
        <f t="shared" si="0"/>
        <v>5754.9490777725123</v>
      </c>
      <c r="H26" s="56">
        <f t="shared" si="4"/>
        <v>5650.6228334364932</v>
      </c>
      <c r="I26" s="57">
        <f t="shared" si="2"/>
        <v>-104.32624433601904</v>
      </c>
      <c r="J26" s="126"/>
      <c r="K26" s="126"/>
      <c r="L26" s="64"/>
      <c r="M26" s="6"/>
      <c r="N26" s="238"/>
      <c r="O26" s="238"/>
      <c r="P26" s="234"/>
      <c r="Q26" s="234"/>
    </row>
    <row r="27" spans="2:17">
      <c r="B27" s="62" t="s">
        <v>127</v>
      </c>
      <c r="C27" s="129" t="s">
        <v>148</v>
      </c>
      <c r="D27" s="52" t="s">
        <v>145</v>
      </c>
      <c r="E27" s="41">
        <v>0.03</v>
      </c>
      <c r="F27" s="115">
        <v>0.37</v>
      </c>
      <c r="G27" s="55">
        <f t="shared" si="0"/>
        <v>2127.6771421327012</v>
      </c>
      <c r="H27" s="56">
        <f t="shared" si="4"/>
        <v>2073.5791986203794</v>
      </c>
      <c r="I27" s="57">
        <f t="shared" si="2"/>
        <v>-54.097943512321763</v>
      </c>
      <c r="J27" s="126"/>
      <c r="K27" s="126"/>
      <c r="N27" s="234"/>
      <c r="O27" s="234"/>
      <c r="P27" s="234"/>
      <c r="Q27" s="234"/>
    </row>
    <row r="28" spans="2:17" ht="16.5" thickBot="1">
      <c r="B28" s="33" t="s">
        <v>128</v>
      </c>
      <c r="C28" s="130"/>
      <c r="D28" s="130"/>
      <c r="E28" s="34">
        <f>SUM(E16:E27)</f>
        <v>10.38</v>
      </c>
      <c r="F28" s="131">
        <f>SUM(F16:F27)</f>
        <v>15.02</v>
      </c>
      <c r="G28" s="132">
        <f>SUM(G16:G27)</f>
        <v>150561.87</v>
      </c>
      <c r="H28" s="133">
        <f>SUM(H16:H27)</f>
        <v>148006.25350000002</v>
      </c>
      <c r="I28" s="134">
        <f>H28-G28</f>
        <v>-2555.6164999999746</v>
      </c>
      <c r="J28" s="135"/>
      <c r="K28" s="135"/>
      <c r="N28" s="234"/>
      <c r="O28" s="234"/>
      <c r="P28" s="234"/>
      <c r="Q28" s="234"/>
    </row>
    <row r="29" spans="2:17">
      <c r="B29" s="6"/>
      <c r="C29" s="6"/>
      <c r="D29" s="6"/>
      <c r="E29" s="29"/>
      <c r="F29" s="29"/>
      <c r="G29" s="29"/>
      <c r="H29" s="29"/>
      <c r="I29" s="2"/>
      <c r="J29" s="2"/>
      <c r="K29" s="2"/>
      <c r="N29" s="234"/>
      <c r="O29" s="234"/>
      <c r="P29" s="234"/>
      <c r="Q29" s="234"/>
    </row>
    <row r="30" spans="2:17" ht="16.5" thickBot="1">
      <c r="B30" s="207" t="s">
        <v>153</v>
      </c>
      <c r="C30" s="207"/>
      <c r="D30" s="207"/>
      <c r="E30" s="207"/>
      <c r="F30" s="207"/>
      <c r="G30" s="207"/>
      <c r="H30" s="207"/>
      <c r="I30" s="207"/>
      <c r="J30" s="121"/>
      <c r="K30" s="121"/>
      <c r="N30" s="234"/>
      <c r="O30" s="234"/>
      <c r="P30" s="234"/>
      <c r="Q30" s="234"/>
    </row>
    <row r="31" spans="2:17" ht="44.25" customHeight="1">
      <c r="B31" s="20"/>
      <c r="C31" s="65"/>
      <c r="D31" s="208" t="s">
        <v>154</v>
      </c>
      <c r="E31" s="209"/>
      <c r="F31" s="210" t="s">
        <v>10</v>
      </c>
      <c r="G31" s="211"/>
      <c r="H31" s="210" t="s">
        <v>11</v>
      </c>
      <c r="I31" s="212"/>
      <c r="J31" s="123"/>
      <c r="K31" s="123"/>
      <c r="L31" s="24"/>
      <c r="M31" s="9"/>
      <c r="N31" s="238"/>
      <c r="O31" s="238"/>
      <c r="P31" s="238"/>
      <c r="Q31" s="238"/>
    </row>
    <row r="32" spans="2:17">
      <c r="B32" s="21" t="s">
        <v>12</v>
      </c>
      <c r="C32" s="67"/>
      <c r="D32" s="203">
        <f>F32+H32</f>
        <v>150561.87</v>
      </c>
      <c r="E32" s="204"/>
      <c r="F32" s="203">
        <f>45366.14+53146.57+19621.76</f>
        <v>118134.46999999999</v>
      </c>
      <c r="G32" s="204"/>
      <c r="H32" s="203">
        <f>G24</f>
        <v>32427.4</v>
      </c>
      <c r="I32" s="213"/>
      <c r="J32" s="122"/>
      <c r="K32" s="122"/>
      <c r="L32" s="10"/>
      <c r="M32" s="10"/>
      <c r="N32" s="234"/>
      <c r="O32" s="234"/>
      <c r="P32" s="234"/>
      <c r="Q32" s="234"/>
    </row>
    <row r="33" spans="2:17">
      <c r="B33" s="21" t="s">
        <v>13</v>
      </c>
      <c r="C33" s="67"/>
      <c r="D33" s="203">
        <f>F33+H33</f>
        <v>124420.01999999999</v>
      </c>
      <c r="E33" s="204"/>
      <c r="F33" s="203">
        <f>37254.75+43644.05+16891.79</f>
        <v>97790.59</v>
      </c>
      <c r="G33" s="204"/>
      <c r="H33" s="203">
        <v>26629.43</v>
      </c>
      <c r="I33" s="213"/>
      <c r="J33" s="122"/>
      <c r="K33" s="122"/>
      <c r="L33" s="25"/>
      <c r="M33" s="10"/>
      <c r="N33" s="234"/>
      <c r="O33" s="234"/>
      <c r="P33" s="234"/>
      <c r="Q33" s="234"/>
    </row>
    <row r="34" spans="2:17" ht="16.5" thickBot="1">
      <c r="B34" s="22" t="s">
        <v>114</v>
      </c>
      <c r="C34" s="69"/>
      <c r="D34" s="205">
        <f>F34+H34</f>
        <v>148006.25350000005</v>
      </c>
      <c r="E34" s="206"/>
      <c r="F34" s="205">
        <f>H16+H17+H18+H19+H20+H21+H22+H23+H25+H26+H27</f>
        <v>117696.25350000004</v>
      </c>
      <c r="G34" s="206"/>
      <c r="H34" s="205">
        <f>H24</f>
        <v>30310</v>
      </c>
      <c r="I34" s="214"/>
      <c r="J34" s="122"/>
      <c r="K34" s="122"/>
      <c r="L34" s="10"/>
      <c r="M34" s="10"/>
      <c r="N34" s="234"/>
      <c r="O34" s="234"/>
      <c r="P34" s="234"/>
      <c r="Q34" s="234"/>
    </row>
    <row r="35" spans="2:17" ht="27" thickBot="1">
      <c r="B35" s="23" t="s">
        <v>115</v>
      </c>
      <c r="C35" s="72"/>
      <c r="D35" s="184">
        <f>F35+H35</f>
        <v>-23586.233500000038</v>
      </c>
      <c r="E35" s="185"/>
      <c r="F35" s="182">
        <f>F33-F34</f>
        <v>-19905.663500000039</v>
      </c>
      <c r="G35" s="183"/>
      <c r="H35" s="182">
        <f>H33-H34</f>
        <v>-3680.5699999999997</v>
      </c>
      <c r="I35" s="202"/>
      <c r="J35" s="122"/>
      <c r="K35" s="122"/>
      <c r="L35" s="10"/>
      <c r="M35" s="10"/>
      <c r="N35" s="234"/>
      <c r="O35" s="234"/>
      <c r="P35" s="234"/>
      <c r="Q35" s="234"/>
    </row>
    <row r="36" spans="2:17" ht="34.5" customHeight="1">
      <c r="B36" s="117" t="s">
        <v>116</v>
      </c>
      <c r="C36" s="117"/>
      <c r="D36" s="136"/>
      <c r="E36" s="180" t="s">
        <v>117</v>
      </c>
      <c r="F36" s="180"/>
      <c r="G36" s="178" t="s">
        <v>14</v>
      </c>
      <c r="H36" s="178"/>
      <c r="I36" s="117"/>
      <c r="J36" s="117"/>
      <c r="K36" s="117"/>
      <c r="L36" s="8"/>
      <c r="M36" s="8"/>
      <c r="N36" s="237"/>
      <c r="O36" s="237"/>
      <c r="P36" s="237"/>
      <c r="Q36" s="237"/>
    </row>
    <row r="37" spans="2:17" ht="11.25" customHeight="1">
      <c r="B37" s="117"/>
      <c r="C37" s="117"/>
      <c r="D37" s="117"/>
      <c r="E37" s="179" t="s">
        <v>15</v>
      </c>
      <c r="F37" s="179"/>
      <c r="G37" s="181"/>
      <c r="H37" s="181"/>
      <c r="I37" s="116"/>
      <c r="J37" s="116"/>
      <c r="K37" s="116"/>
      <c r="L37" s="8"/>
      <c r="M37" s="8"/>
      <c r="N37" s="237"/>
      <c r="O37" s="237"/>
      <c r="P37" s="237"/>
      <c r="Q37" s="237"/>
    </row>
    <row r="38" spans="2:17">
      <c r="B38" s="117" t="s">
        <v>118</v>
      </c>
      <c r="C38" s="117"/>
      <c r="D38" s="117"/>
      <c r="E38" s="177" t="s">
        <v>117</v>
      </c>
      <c r="F38" s="177"/>
      <c r="G38" s="178" t="s">
        <v>131</v>
      </c>
      <c r="H38" s="178"/>
      <c r="I38" s="117"/>
      <c r="J38" s="117"/>
      <c r="K38" s="117"/>
      <c r="L38" s="8"/>
      <c r="M38" s="8"/>
      <c r="N38" s="237"/>
      <c r="O38" s="237"/>
      <c r="P38" s="237"/>
      <c r="Q38" s="237"/>
    </row>
    <row r="39" spans="2:17" ht="9.75" customHeight="1">
      <c r="B39" s="117"/>
      <c r="C39" s="117"/>
      <c r="D39" s="117"/>
      <c r="E39" s="179" t="s">
        <v>15</v>
      </c>
      <c r="F39" s="179"/>
      <c r="G39" s="178"/>
      <c r="H39" s="178"/>
      <c r="I39" s="117"/>
      <c r="J39" s="117"/>
      <c r="K39" s="117"/>
      <c r="N39" s="234"/>
      <c r="O39" s="234"/>
      <c r="P39" s="234"/>
      <c r="Q39" s="234"/>
    </row>
    <row r="40" spans="2:17">
      <c r="B40" s="117" t="s">
        <v>119</v>
      </c>
      <c r="C40" s="117"/>
      <c r="D40" s="117"/>
      <c r="E40" s="177" t="s">
        <v>117</v>
      </c>
      <c r="F40" s="177"/>
      <c r="G40" s="178" t="s">
        <v>157</v>
      </c>
      <c r="H40" s="178"/>
      <c r="I40" s="117"/>
      <c r="J40" s="117"/>
      <c r="K40" s="117"/>
      <c r="N40" s="234"/>
      <c r="O40" s="234"/>
      <c r="P40" s="234"/>
      <c r="Q40" s="234"/>
    </row>
    <row r="41" spans="2:17" ht="8.25" customHeight="1">
      <c r="B41" s="27"/>
      <c r="C41" s="27"/>
      <c r="D41" s="27"/>
      <c r="E41" s="179" t="s">
        <v>15</v>
      </c>
      <c r="F41" s="179"/>
      <c r="G41" s="118"/>
      <c r="H41" s="137"/>
      <c r="I41" s="119"/>
      <c r="J41" s="119"/>
      <c r="K41" s="119"/>
      <c r="N41" s="234"/>
      <c r="O41" s="234"/>
      <c r="P41" s="234"/>
      <c r="Q41" s="234"/>
    </row>
    <row r="42" spans="2:17">
      <c r="B42" s="117" t="s">
        <v>120</v>
      </c>
      <c r="C42" s="117"/>
      <c r="D42" s="117"/>
      <c r="E42" s="177" t="s">
        <v>117</v>
      </c>
      <c r="F42" s="177"/>
      <c r="G42" s="178" t="s">
        <v>93</v>
      </c>
      <c r="H42" s="178"/>
    </row>
    <row r="43" spans="2:17" ht="9" customHeight="1">
      <c r="B43" s="138"/>
      <c r="C43" s="138"/>
      <c r="D43" s="138"/>
      <c r="E43" s="179" t="s">
        <v>15</v>
      </c>
      <c r="F43" s="179"/>
      <c r="G43" s="179"/>
      <c r="H43" s="179"/>
    </row>
    <row r="44" spans="2:17">
      <c r="E44" s="120"/>
      <c r="F44" s="120"/>
    </row>
  </sheetData>
  <mergeCells count="42">
    <mergeCell ref="G42:H42"/>
    <mergeCell ref="E43:F43"/>
    <mergeCell ref="G43:H43"/>
    <mergeCell ref="G38:H38"/>
    <mergeCell ref="E39:F39"/>
    <mergeCell ref="G39:H39"/>
    <mergeCell ref="E40:F40"/>
    <mergeCell ref="G40:H40"/>
    <mergeCell ref="E38:F38"/>
    <mergeCell ref="E41:F41"/>
    <mergeCell ref="E42:F42"/>
    <mergeCell ref="H35:I35"/>
    <mergeCell ref="E36:F36"/>
    <mergeCell ref="G36:H36"/>
    <mergeCell ref="E37:F37"/>
    <mergeCell ref="G37:H37"/>
    <mergeCell ref="F35:G35"/>
    <mergeCell ref="D35:E35"/>
    <mergeCell ref="D33:E33"/>
    <mergeCell ref="F33:G33"/>
    <mergeCell ref="H33:I33"/>
    <mergeCell ref="D34:E34"/>
    <mergeCell ref="F34:G34"/>
    <mergeCell ref="H34:I34"/>
    <mergeCell ref="B30:I30"/>
    <mergeCell ref="D31:E31"/>
    <mergeCell ref="F31:G31"/>
    <mergeCell ref="H31:I31"/>
    <mergeCell ref="D32:E32"/>
    <mergeCell ref="F32:G32"/>
    <mergeCell ref="H32:I32"/>
    <mergeCell ref="B13:I13"/>
    <mergeCell ref="B14:B15"/>
    <mergeCell ref="C14:C15"/>
    <mergeCell ref="D14:D15"/>
    <mergeCell ref="E14:E15"/>
    <mergeCell ref="F14:F15"/>
    <mergeCell ref="G14:H14"/>
    <mergeCell ref="I14:I15"/>
    <mergeCell ref="B2:I3"/>
    <mergeCell ref="D5:F5"/>
    <mergeCell ref="D12:E12"/>
  </mergeCells>
  <printOptions horizontalCentered="1"/>
  <pageMargins left="0.19685039370078741" right="0.23622047244094491" top="0.19685039370078741" bottom="0.23622047244094491" header="0.31496062992125984" footer="0.31496062992125984"/>
  <pageSetup paperSize="9" scale="43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B1:R44"/>
  <sheetViews>
    <sheetView zoomScale="110" zoomScaleNormal="110" workbookViewId="0">
      <selection activeCell="B1" sqref="B1:I1"/>
    </sheetView>
  </sheetViews>
  <sheetFormatPr defaultColWidth="9.140625" defaultRowHeight="15.75" outlineLevelRow="1"/>
  <cols>
    <col min="1" max="1" width="2.85546875" style="1" customWidth="1"/>
    <col min="2" max="2" width="51.42578125" style="1" customWidth="1"/>
    <col min="3" max="3" width="12" style="35" customWidth="1"/>
    <col min="4" max="4" width="8.28515625" style="2" customWidth="1"/>
    <col min="5" max="5" width="11.28515625" style="2" customWidth="1"/>
    <col min="6" max="6" width="12" style="2" customWidth="1"/>
    <col min="7" max="7" width="9.5703125" style="1" customWidth="1"/>
    <col min="8" max="8" width="10.28515625" style="1" customWidth="1"/>
    <col min="9" max="9" width="12" style="1" customWidth="1"/>
    <col min="10" max="10" width="12.28515625" style="1" customWidth="1"/>
    <col min="11" max="13" width="9.140625" style="1"/>
    <col min="14" max="14" width="14.85546875" style="232" customWidth="1"/>
    <col min="15" max="15" width="13.7109375" style="232" customWidth="1"/>
    <col min="16" max="16" width="14.28515625" style="232" customWidth="1"/>
    <col min="17" max="17" width="15.5703125" style="232" customWidth="1"/>
    <col min="18" max="18" width="9.140625" style="232"/>
    <col min="19" max="16384" width="9.140625" style="1"/>
  </cols>
  <sheetData>
    <row r="1" spans="2:18">
      <c r="B1" s="137"/>
      <c r="C1" s="137"/>
      <c r="D1" s="137"/>
      <c r="E1" s="137"/>
      <c r="F1" s="137"/>
      <c r="G1" s="137"/>
      <c r="H1" s="137"/>
      <c r="I1" s="137"/>
    </row>
    <row r="2" spans="2:18" ht="19.5" customHeight="1">
      <c r="B2" s="186" t="s">
        <v>161</v>
      </c>
      <c r="C2" s="186"/>
      <c r="D2" s="186"/>
      <c r="E2" s="186"/>
      <c r="F2" s="186"/>
      <c r="G2" s="186"/>
      <c r="H2" s="186"/>
      <c r="I2" s="186"/>
    </row>
    <row r="3" spans="2:18" ht="20.25" customHeight="1">
      <c r="B3" s="186"/>
      <c r="C3" s="186"/>
      <c r="D3" s="186"/>
      <c r="E3" s="186"/>
      <c r="F3" s="186"/>
      <c r="G3" s="186"/>
      <c r="H3" s="186"/>
      <c r="I3" s="186"/>
    </row>
    <row r="4" spans="2:18" ht="13.5" customHeight="1"/>
    <row r="5" spans="2:18">
      <c r="B5" s="1" t="s">
        <v>0</v>
      </c>
      <c r="D5" s="200" t="s">
        <v>28</v>
      </c>
      <c r="E5" s="200"/>
      <c r="F5" s="200"/>
    </row>
    <row r="6" spans="2:18">
      <c r="B6" s="1" t="s">
        <v>1</v>
      </c>
      <c r="D6" s="11">
        <v>1990</v>
      </c>
      <c r="E6" s="11"/>
      <c r="F6" s="11"/>
    </row>
    <row r="7" spans="2:18" hidden="1" outlineLevel="1">
      <c r="B7" s="1" t="s">
        <v>2</v>
      </c>
      <c r="D7" s="11">
        <v>3</v>
      </c>
      <c r="E7" s="11"/>
      <c r="F7" s="11"/>
    </row>
    <row r="8" spans="2:18" hidden="1" outlineLevel="1">
      <c r="B8" s="1" t="s">
        <v>3</v>
      </c>
      <c r="D8" s="11">
        <v>25</v>
      </c>
      <c r="E8" s="11"/>
      <c r="F8" s="11"/>
    </row>
    <row r="9" spans="2:18" ht="30.75" hidden="1" customHeight="1" outlineLevel="1">
      <c r="B9" s="4" t="s">
        <v>4</v>
      </c>
      <c r="C9" s="36"/>
      <c r="D9" s="11" t="s">
        <v>29</v>
      </c>
      <c r="E9" s="11"/>
      <c r="F9" s="11"/>
    </row>
    <row r="10" spans="2:18" collapsed="1">
      <c r="B10" s="1" t="s">
        <v>5</v>
      </c>
      <c r="D10" s="16" t="s">
        <v>101</v>
      </c>
      <c r="E10" s="11"/>
      <c r="F10" s="11"/>
      <c r="J10" s="6"/>
    </row>
    <row r="11" spans="2:18" hidden="1" outlineLevel="1">
      <c r="B11" s="1" t="s">
        <v>6</v>
      </c>
      <c r="D11" s="11" t="s">
        <v>7</v>
      </c>
      <c r="E11" s="11"/>
      <c r="F11" s="11"/>
    </row>
    <row r="12" spans="2:18" ht="30.75" hidden="1" customHeight="1" outlineLevel="1">
      <c r="B12" s="4" t="s">
        <v>8</v>
      </c>
      <c r="C12" s="36"/>
      <c r="D12" s="201" t="s">
        <v>30</v>
      </c>
      <c r="E12" s="201"/>
      <c r="F12" s="11"/>
      <c r="J12" s="6"/>
    </row>
    <row r="13" spans="2:18" ht="31.5" customHeight="1" collapsed="1" thickBot="1">
      <c r="B13" s="187" t="s">
        <v>132</v>
      </c>
      <c r="C13" s="187"/>
      <c r="D13" s="187"/>
      <c r="E13" s="187"/>
      <c r="F13" s="187"/>
      <c r="G13" s="187"/>
      <c r="H13" s="187"/>
      <c r="I13" s="187"/>
      <c r="J13" s="124"/>
      <c r="K13" s="124"/>
      <c r="M13" s="6"/>
      <c r="N13" s="233" t="s">
        <v>133</v>
      </c>
      <c r="O13" s="233" t="s">
        <v>134</v>
      </c>
      <c r="P13" s="233" t="s">
        <v>135</v>
      </c>
      <c r="Q13" s="233" t="s">
        <v>136</v>
      </c>
    </row>
    <row r="14" spans="2:18" ht="27.75" customHeight="1">
      <c r="B14" s="188" t="s">
        <v>137</v>
      </c>
      <c r="C14" s="190" t="s">
        <v>138</v>
      </c>
      <c r="D14" s="190" t="s">
        <v>139</v>
      </c>
      <c r="E14" s="192" t="s">
        <v>140</v>
      </c>
      <c r="F14" s="194" t="s">
        <v>141</v>
      </c>
      <c r="G14" s="196" t="s">
        <v>142</v>
      </c>
      <c r="H14" s="197"/>
      <c r="I14" s="198" t="s">
        <v>163</v>
      </c>
      <c r="J14" s="125"/>
      <c r="K14" s="125"/>
      <c r="M14" s="6"/>
      <c r="N14" s="233"/>
      <c r="O14" s="233"/>
      <c r="P14" s="233"/>
      <c r="Q14" s="233"/>
    </row>
    <row r="15" spans="2:18" ht="45" customHeight="1" thickBot="1">
      <c r="B15" s="189"/>
      <c r="C15" s="191"/>
      <c r="D15" s="191"/>
      <c r="E15" s="193"/>
      <c r="F15" s="195"/>
      <c r="G15" s="48" t="s">
        <v>121</v>
      </c>
      <c r="H15" s="49" t="s">
        <v>122</v>
      </c>
      <c r="I15" s="199"/>
      <c r="J15" s="125"/>
      <c r="K15" s="125"/>
      <c r="N15" s="234">
        <v>80232.11</v>
      </c>
      <c r="O15" s="234">
        <v>90475.96</v>
      </c>
      <c r="P15" s="234">
        <f>78213.61*1.029</f>
        <v>80481.80468999999</v>
      </c>
      <c r="Q15" s="234">
        <f>87459.92*1.029</f>
        <v>89996.257679999995</v>
      </c>
      <c r="R15" s="232">
        <f>(N15+O15)/(P15+Q15)*100</f>
        <v>100.13491919535124</v>
      </c>
    </row>
    <row r="16" spans="2:18" ht="50.25" customHeight="1">
      <c r="B16" s="110" t="s">
        <v>143</v>
      </c>
      <c r="C16" s="51" t="s">
        <v>144</v>
      </c>
      <c r="D16" s="52" t="s">
        <v>145</v>
      </c>
      <c r="E16" s="53">
        <v>1.01</v>
      </c>
      <c r="F16" s="54">
        <v>1.05</v>
      </c>
      <c r="G16" s="55">
        <f>($N$15/$N$16*E16)+($O$15/$O$16*F16)</f>
        <v>19476.470631656994</v>
      </c>
      <c r="H16" s="56">
        <f>($P$15/$P$16*E16)+($Q$15/$Q$16*F16)</f>
        <v>19453.992796025486</v>
      </c>
      <c r="I16" s="57">
        <f>H16-G16</f>
        <v>-22.477835631507332</v>
      </c>
      <c r="J16" s="126"/>
      <c r="K16" s="126"/>
      <c r="L16" s="7"/>
      <c r="M16" s="58"/>
      <c r="N16" s="235">
        <v>8.44</v>
      </c>
      <c r="O16" s="234">
        <v>9.6199999999999992</v>
      </c>
      <c r="P16" s="235">
        <v>8.44</v>
      </c>
      <c r="Q16" s="234">
        <v>9.6199999999999992</v>
      </c>
    </row>
    <row r="17" spans="2:17" ht="51">
      <c r="B17" s="127" t="s">
        <v>129</v>
      </c>
      <c r="C17" s="51" t="s">
        <v>144</v>
      </c>
      <c r="D17" s="52" t="s">
        <v>145</v>
      </c>
      <c r="E17" s="41">
        <v>1.1299999999999999</v>
      </c>
      <c r="F17" s="115">
        <v>1.17</v>
      </c>
      <c r="G17" s="55">
        <f t="shared" ref="G17:G27" si="0">($N$15/$N$16*E17)+($O$15/$O$16*F17)</f>
        <v>21745.809785769183</v>
      </c>
      <c r="H17" s="56">
        <f t="shared" ref="H17:H21" si="1">($P$15/$P$16*E17)+($Q$15/$Q$16*F17)</f>
        <v>21720.898298883374</v>
      </c>
      <c r="I17" s="57">
        <f t="shared" ref="I17:I27" si="2">H17-G17</f>
        <v>-24.911486885808699</v>
      </c>
      <c r="J17" s="126"/>
      <c r="K17" s="126"/>
      <c r="L17" s="8"/>
      <c r="M17" s="8"/>
      <c r="N17" s="236"/>
      <c r="O17" s="237"/>
      <c r="P17" s="237"/>
      <c r="Q17" s="237"/>
    </row>
    <row r="18" spans="2:17" ht="52.5" customHeight="1">
      <c r="B18" s="62" t="s">
        <v>123</v>
      </c>
      <c r="C18" s="51" t="s">
        <v>144</v>
      </c>
      <c r="D18" s="52" t="s">
        <v>145</v>
      </c>
      <c r="E18" s="41">
        <v>0.28000000000000003</v>
      </c>
      <c r="F18" s="115">
        <v>0.27</v>
      </c>
      <c r="G18" s="55">
        <f t="shared" si="0"/>
        <v>5201.0748384585841</v>
      </c>
      <c r="H18" s="56">
        <f t="shared" si="1"/>
        <v>5195.8949699255108</v>
      </c>
      <c r="I18" s="57">
        <f t="shared" si="2"/>
        <v>-5.1798685330732042</v>
      </c>
      <c r="J18" s="126"/>
      <c r="K18" s="126"/>
      <c r="M18" s="6"/>
      <c r="N18" s="234"/>
      <c r="O18" s="234"/>
      <c r="P18" s="234"/>
      <c r="Q18" s="234"/>
    </row>
    <row r="19" spans="2:17" ht="25.5">
      <c r="B19" s="62" t="s">
        <v>146</v>
      </c>
      <c r="C19" s="59" t="s">
        <v>147</v>
      </c>
      <c r="D19" s="52" t="s">
        <v>145</v>
      </c>
      <c r="E19" s="41">
        <v>0</v>
      </c>
      <c r="F19" s="115">
        <v>0</v>
      </c>
      <c r="G19" s="55">
        <f t="shared" si="0"/>
        <v>0</v>
      </c>
      <c r="H19" s="56">
        <f t="shared" si="1"/>
        <v>0</v>
      </c>
      <c r="I19" s="57">
        <f t="shared" si="2"/>
        <v>0</v>
      </c>
      <c r="J19" s="126"/>
      <c r="K19" s="126"/>
      <c r="M19" s="6"/>
      <c r="N19" s="234"/>
      <c r="O19" s="234"/>
      <c r="P19" s="234"/>
      <c r="Q19" s="234"/>
    </row>
    <row r="20" spans="2:17" ht="51">
      <c r="B20" s="127" t="s">
        <v>124</v>
      </c>
      <c r="C20" s="51" t="s">
        <v>144</v>
      </c>
      <c r="D20" s="52" t="s">
        <v>145</v>
      </c>
      <c r="E20" s="41">
        <v>1.1399999999999999</v>
      </c>
      <c r="F20" s="115">
        <v>1.33</v>
      </c>
      <c r="G20" s="55">
        <f t="shared" si="0"/>
        <v>23345.669198993019</v>
      </c>
      <c r="H20" s="56">
        <f t="shared" si="1"/>
        <v>23313.075141931651</v>
      </c>
      <c r="I20" s="57">
        <f t="shared" si="2"/>
        <v>-32.594057061367494</v>
      </c>
      <c r="J20" s="126"/>
      <c r="K20" s="126"/>
      <c r="N20" s="234"/>
      <c r="O20" s="234"/>
      <c r="P20" s="234"/>
      <c r="Q20" s="234"/>
    </row>
    <row r="21" spans="2:17" ht="145.5" customHeight="1">
      <c r="B21" s="127" t="s">
        <v>125</v>
      </c>
      <c r="C21" s="51" t="s">
        <v>148</v>
      </c>
      <c r="D21" s="52" t="s">
        <v>145</v>
      </c>
      <c r="E21" s="41">
        <v>3.67</v>
      </c>
      <c r="F21" s="115">
        <v>3.14</v>
      </c>
      <c r="G21" s="55">
        <f t="shared" si="0"/>
        <v>64419.31350969545</v>
      </c>
      <c r="H21" s="56">
        <f t="shared" si="1"/>
        <v>64371.312848363574</v>
      </c>
      <c r="I21" s="57">
        <f t="shared" si="2"/>
        <v>-48.000661331876472</v>
      </c>
      <c r="J21" s="126"/>
      <c r="K21" s="126"/>
      <c r="L21" s="8"/>
      <c r="M21" s="60"/>
      <c r="N21" s="237"/>
      <c r="O21" s="237"/>
      <c r="P21" s="237"/>
      <c r="Q21" s="237"/>
    </row>
    <row r="22" spans="2:17" ht="27.75" customHeight="1">
      <c r="B22" s="62" t="s">
        <v>149</v>
      </c>
      <c r="C22" s="51" t="s">
        <v>147</v>
      </c>
      <c r="D22" s="52" t="s">
        <v>145</v>
      </c>
      <c r="E22" s="41">
        <v>1.94</v>
      </c>
      <c r="F22" s="115">
        <v>2</v>
      </c>
      <c r="G22" s="55">
        <v>35604.42</v>
      </c>
      <c r="H22" s="40">
        <v>36147.26</v>
      </c>
      <c r="I22" s="57">
        <f t="shared" si="2"/>
        <v>542.84000000000378</v>
      </c>
      <c r="J22" s="126"/>
      <c r="K22" s="126"/>
      <c r="N22" s="234"/>
      <c r="O22" s="234"/>
      <c r="P22" s="234"/>
      <c r="Q22" s="234"/>
    </row>
    <row r="23" spans="2:17" ht="108.75" customHeight="1">
      <c r="B23" s="127" t="s">
        <v>150</v>
      </c>
      <c r="C23" s="51" t="s">
        <v>144</v>
      </c>
      <c r="D23" s="52" t="s">
        <v>145</v>
      </c>
      <c r="E23" s="41">
        <v>0.22</v>
      </c>
      <c r="F23" s="115">
        <v>0.21</v>
      </c>
      <c r="G23" s="55">
        <f t="shared" si="0"/>
        <v>4066.4052614024895</v>
      </c>
      <c r="H23" s="56">
        <f t="shared" ref="H23" si="3">($P$15/$P$16*E23)+($Q$15/$Q$16*F23)</f>
        <v>4062.4422184965661</v>
      </c>
      <c r="I23" s="57">
        <f t="shared" si="2"/>
        <v>-3.9630429059234302</v>
      </c>
      <c r="J23" s="126"/>
      <c r="K23" s="126"/>
      <c r="N23" s="234"/>
      <c r="O23" s="234"/>
      <c r="P23" s="234"/>
      <c r="Q23" s="234"/>
    </row>
    <row r="24" spans="2:17" ht="48">
      <c r="B24" s="62" t="s">
        <v>151</v>
      </c>
      <c r="C24" s="51" t="s">
        <v>144</v>
      </c>
      <c r="D24" s="52" t="s">
        <v>145</v>
      </c>
      <c r="E24" s="41">
        <v>5.09</v>
      </c>
      <c r="F24" s="115">
        <v>5.09</v>
      </c>
      <c r="G24" s="55">
        <v>96772.85</v>
      </c>
      <c r="H24" s="128">
        <v>193047</v>
      </c>
      <c r="I24" s="57">
        <f t="shared" si="2"/>
        <v>96274.15</v>
      </c>
      <c r="J24" s="126"/>
      <c r="K24" s="126"/>
      <c r="M24" s="6"/>
      <c r="N24" s="234"/>
      <c r="O24" s="234"/>
      <c r="P24" s="234"/>
      <c r="Q24" s="234"/>
    </row>
    <row r="25" spans="2:17" ht="63.75">
      <c r="B25" s="127" t="s">
        <v>152</v>
      </c>
      <c r="C25" s="59" t="s">
        <v>148</v>
      </c>
      <c r="D25" s="52" t="s">
        <v>145</v>
      </c>
      <c r="E25" s="41">
        <v>0.71</v>
      </c>
      <c r="F25" s="115">
        <v>1.44</v>
      </c>
      <c r="G25" s="55">
        <f t="shared" si="0"/>
        <v>20292.562704796488</v>
      </c>
      <c r="H25" s="56">
        <f t="shared" ref="H25:H27" si="4">($P$15/$P$16*E25)+($Q$15/$Q$16*F25)</f>
        <v>20241.762074140635</v>
      </c>
      <c r="I25" s="57">
        <f t="shared" si="2"/>
        <v>-50.800630655852729</v>
      </c>
      <c r="J25" s="126"/>
      <c r="K25" s="126"/>
      <c r="L25" s="123"/>
      <c r="M25" s="6"/>
      <c r="N25" s="234"/>
      <c r="O25" s="234"/>
      <c r="P25" s="234"/>
      <c r="Q25" s="234"/>
    </row>
    <row r="26" spans="2:17" ht="63.75">
      <c r="B26" s="127" t="s">
        <v>126</v>
      </c>
      <c r="C26" s="59" t="s">
        <v>148</v>
      </c>
      <c r="D26" s="52" t="s">
        <v>145</v>
      </c>
      <c r="E26" s="41">
        <v>0.25</v>
      </c>
      <c r="F26" s="115">
        <v>0.83</v>
      </c>
      <c r="G26" s="55">
        <f t="shared" si="0"/>
        <v>10182.68146365195</v>
      </c>
      <c r="H26" s="56">
        <f t="shared" si="4"/>
        <v>10148.689595375279</v>
      </c>
      <c r="I26" s="57">
        <f t="shared" si="2"/>
        <v>-33.991868276671084</v>
      </c>
      <c r="J26" s="126"/>
      <c r="K26" s="126"/>
      <c r="L26" s="64"/>
      <c r="M26" s="6"/>
      <c r="N26" s="238"/>
      <c r="O26" s="238"/>
      <c r="P26" s="234"/>
      <c r="Q26" s="234"/>
    </row>
    <row r="27" spans="2:17">
      <c r="B27" s="62" t="s">
        <v>127</v>
      </c>
      <c r="C27" s="129" t="s">
        <v>148</v>
      </c>
      <c r="D27" s="52" t="s">
        <v>145</v>
      </c>
      <c r="E27" s="41">
        <v>0.03</v>
      </c>
      <c r="F27" s="115">
        <v>0.18</v>
      </c>
      <c r="G27" s="55">
        <f t="shared" si="0"/>
        <v>1978.0826055758641</v>
      </c>
      <c r="H27" s="56">
        <f t="shared" si="4"/>
        <v>1969.9944268579231</v>
      </c>
      <c r="I27" s="57">
        <f t="shared" si="2"/>
        <v>-8.0881787179409912</v>
      </c>
      <c r="J27" s="126"/>
      <c r="K27" s="126"/>
      <c r="N27" s="234"/>
      <c r="O27" s="234"/>
      <c r="P27" s="234"/>
      <c r="Q27" s="234"/>
    </row>
    <row r="28" spans="2:17" ht="16.5" thickBot="1">
      <c r="B28" s="33" t="s">
        <v>128</v>
      </c>
      <c r="C28" s="130"/>
      <c r="D28" s="130"/>
      <c r="E28" s="34">
        <f>SUM(E16:E27)</f>
        <v>15.47</v>
      </c>
      <c r="F28" s="131">
        <f>SUM(F16:F27)</f>
        <v>16.71</v>
      </c>
      <c r="G28" s="132">
        <f>SUM(G16:G27)</f>
        <v>303085.33999999997</v>
      </c>
      <c r="H28" s="133">
        <f>SUM(H16:H27)</f>
        <v>399672.32237000001</v>
      </c>
      <c r="I28" s="134">
        <f>H28-G28</f>
        <v>96586.982370000042</v>
      </c>
      <c r="J28" s="135"/>
      <c r="K28" s="135"/>
      <c r="N28" s="234"/>
      <c r="O28" s="234"/>
      <c r="P28" s="234"/>
      <c r="Q28" s="234"/>
    </row>
    <row r="29" spans="2:17">
      <c r="B29" s="6"/>
      <c r="C29" s="6"/>
      <c r="D29" s="6"/>
      <c r="E29" s="29"/>
      <c r="F29" s="29"/>
      <c r="G29" s="29"/>
      <c r="H29" s="29"/>
      <c r="I29" s="2"/>
      <c r="J29" s="2"/>
      <c r="K29" s="2"/>
      <c r="N29" s="234"/>
      <c r="O29" s="234"/>
      <c r="P29" s="234"/>
      <c r="Q29" s="234"/>
    </row>
    <row r="30" spans="2:17" ht="16.5" thickBot="1">
      <c r="B30" s="207" t="s">
        <v>153</v>
      </c>
      <c r="C30" s="207"/>
      <c r="D30" s="207"/>
      <c r="E30" s="207"/>
      <c r="F30" s="207"/>
      <c r="G30" s="207"/>
      <c r="H30" s="207"/>
      <c r="I30" s="207"/>
      <c r="J30" s="121"/>
      <c r="K30" s="121"/>
      <c r="N30" s="234"/>
      <c r="O30" s="234"/>
      <c r="P30" s="234"/>
      <c r="Q30" s="234"/>
    </row>
    <row r="31" spans="2:17" ht="44.25" customHeight="1">
      <c r="B31" s="20"/>
      <c r="C31" s="65"/>
      <c r="D31" s="208" t="s">
        <v>154</v>
      </c>
      <c r="E31" s="209"/>
      <c r="F31" s="210" t="s">
        <v>10</v>
      </c>
      <c r="G31" s="211"/>
      <c r="H31" s="210" t="s">
        <v>11</v>
      </c>
      <c r="I31" s="212"/>
      <c r="J31" s="123"/>
      <c r="K31" s="123"/>
      <c r="L31" s="24"/>
      <c r="M31" s="9"/>
      <c r="N31" s="238"/>
      <c r="O31" s="238"/>
      <c r="P31" s="238"/>
      <c r="Q31" s="238"/>
    </row>
    <row r="32" spans="2:17">
      <c r="B32" s="21" t="s">
        <v>12</v>
      </c>
      <c r="C32" s="67"/>
      <c r="D32" s="203">
        <f>F32+H32</f>
        <v>303085.33999999997</v>
      </c>
      <c r="E32" s="204"/>
      <c r="F32" s="203">
        <f>80232.11+90475.96+35604.42</f>
        <v>206312.49</v>
      </c>
      <c r="G32" s="204"/>
      <c r="H32" s="203">
        <f>G24</f>
        <v>96772.85</v>
      </c>
      <c r="I32" s="213"/>
      <c r="J32" s="122"/>
      <c r="K32" s="122"/>
      <c r="L32" s="10"/>
      <c r="M32" s="10"/>
      <c r="N32" s="234"/>
      <c r="O32" s="234"/>
      <c r="P32" s="234"/>
      <c r="Q32" s="234"/>
    </row>
    <row r="33" spans="2:17">
      <c r="B33" s="21" t="s">
        <v>13</v>
      </c>
      <c r="C33" s="67"/>
      <c r="D33" s="203">
        <f>F33+H33</f>
        <v>262820.01</v>
      </c>
      <c r="E33" s="204"/>
      <c r="F33" s="203">
        <f>69425.39+78289.47+31366.94</f>
        <v>179081.8</v>
      </c>
      <c r="G33" s="204"/>
      <c r="H33" s="203">
        <v>83738.210000000006</v>
      </c>
      <c r="I33" s="213"/>
      <c r="J33" s="122"/>
      <c r="K33" s="122"/>
      <c r="L33" s="25"/>
      <c r="M33" s="10"/>
      <c r="N33" s="234"/>
      <c r="O33" s="234"/>
      <c r="P33" s="234"/>
      <c r="Q33" s="234"/>
    </row>
    <row r="34" spans="2:17" ht="16.5" thickBot="1">
      <c r="B34" s="22" t="s">
        <v>114</v>
      </c>
      <c r="C34" s="69"/>
      <c r="D34" s="205">
        <f>F34+H34</f>
        <v>399672.32236999995</v>
      </c>
      <c r="E34" s="206"/>
      <c r="F34" s="205">
        <f>H16+H17+H18+H19+H20+H21+H22+H23+H25+H26+H27</f>
        <v>206625.32236999998</v>
      </c>
      <c r="G34" s="206"/>
      <c r="H34" s="205">
        <f>H24</f>
        <v>193047</v>
      </c>
      <c r="I34" s="214"/>
      <c r="J34" s="122"/>
      <c r="K34" s="122"/>
      <c r="L34" s="10"/>
      <c r="M34" s="10"/>
      <c r="N34" s="234"/>
      <c r="O34" s="234"/>
      <c r="P34" s="234"/>
      <c r="Q34" s="234"/>
    </row>
    <row r="35" spans="2:17" ht="27" thickBot="1">
      <c r="B35" s="23" t="s">
        <v>115</v>
      </c>
      <c r="C35" s="72"/>
      <c r="D35" s="184">
        <f>F35+H35</f>
        <v>-136852.31237</v>
      </c>
      <c r="E35" s="185"/>
      <c r="F35" s="182">
        <f>F33-F34</f>
        <v>-27543.522369999991</v>
      </c>
      <c r="G35" s="183"/>
      <c r="H35" s="182">
        <f>H33-H34</f>
        <v>-109308.79</v>
      </c>
      <c r="I35" s="202"/>
      <c r="J35" s="122"/>
      <c r="K35" s="122"/>
      <c r="L35" s="10"/>
      <c r="M35" s="10"/>
      <c r="N35" s="234"/>
      <c r="O35" s="234"/>
      <c r="P35" s="234"/>
      <c r="Q35" s="234"/>
    </row>
    <row r="36" spans="2:17" ht="34.5" customHeight="1">
      <c r="B36" s="117" t="s">
        <v>116</v>
      </c>
      <c r="C36" s="117"/>
      <c r="D36" s="136"/>
      <c r="E36" s="180" t="s">
        <v>117</v>
      </c>
      <c r="F36" s="180"/>
      <c r="G36" s="178" t="s">
        <v>14</v>
      </c>
      <c r="H36" s="178"/>
      <c r="I36" s="117"/>
      <c r="J36" s="117"/>
      <c r="K36" s="117"/>
      <c r="L36" s="8"/>
      <c r="M36" s="8"/>
      <c r="N36" s="237"/>
      <c r="O36" s="237"/>
      <c r="P36" s="237"/>
      <c r="Q36" s="237"/>
    </row>
    <row r="37" spans="2:17" ht="11.25" customHeight="1">
      <c r="B37" s="117"/>
      <c r="C37" s="117"/>
      <c r="D37" s="117"/>
      <c r="E37" s="179" t="s">
        <v>15</v>
      </c>
      <c r="F37" s="179"/>
      <c r="G37" s="181"/>
      <c r="H37" s="181"/>
      <c r="I37" s="116"/>
      <c r="J37" s="116"/>
      <c r="K37" s="116"/>
      <c r="L37" s="8"/>
      <c r="M37" s="8"/>
      <c r="N37" s="237"/>
      <c r="O37" s="237"/>
      <c r="P37" s="237"/>
      <c r="Q37" s="237"/>
    </row>
    <row r="38" spans="2:17">
      <c r="B38" s="117" t="s">
        <v>118</v>
      </c>
      <c r="C38" s="117"/>
      <c r="D38" s="117"/>
      <c r="E38" s="177" t="s">
        <v>117</v>
      </c>
      <c r="F38" s="177"/>
      <c r="G38" s="178" t="s">
        <v>131</v>
      </c>
      <c r="H38" s="178"/>
      <c r="I38" s="117"/>
      <c r="J38" s="117"/>
      <c r="K38" s="117"/>
      <c r="L38" s="8"/>
      <c r="M38" s="8"/>
      <c r="N38" s="237"/>
      <c r="O38" s="237"/>
      <c r="P38" s="237"/>
      <c r="Q38" s="237"/>
    </row>
    <row r="39" spans="2:17" ht="9.75" customHeight="1">
      <c r="B39" s="117"/>
      <c r="C39" s="117"/>
      <c r="D39" s="117"/>
      <c r="E39" s="179" t="s">
        <v>15</v>
      </c>
      <c r="F39" s="179"/>
      <c r="G39" s="178"/>
      <c r="H39" s="178"/>
      <c r="I39" s="117"/>
      <c r="J39" s="117"/>
      <c r="K39" s="117"/>
      <c r="N39" s="234"/>
      <c r="O39" s="234"/>
      <c r="P39" s="234"/>
      <c r="Q39" s="234"/>
    </row>
    <row r="40" spans="2:17">
      <c r="B40" s="117" t="s">
        <v>119</v>
      </c>
      <c r="C40" s="117"/>
      <c r="D40" s="117"/>
      <c r="E40" s="177" t="s">
        <v>117</v>
      </c>
      <c r="F40" s="177"/>
      <c r="G40" s="178" t="s">
        <v>157</v>
      </c>
      <c r="H40" s="178"/>
      <c r="I40" s="117"/>
      <c r="J40" s="117"/>
      <c r="K40" s="117"/>
      <c r="N40" s="234"/>
      <c r="O40" s="234"/>
      <c r="P40" s="234"/>
      <c r="Q40" s="234"/>
    </row>
    <row r="41" spans="2:17" ht="8.25" customHeight="1">
      <c r="B41" s="27"/>
      <c r="C41" s="27"/>
      <c r="D41" s="27"/>
      <c r="E41" s="179" t="s">
        <v>15</v>
      </c>
      <c r="F41" s="179"/>
      <c r="G41" s="118"/>
      <c r="H41" s="137"/>
      <c r="I41" s="119"/>
      <c r="J41" s="119"/>
      <c r="K41" s="119"/>
      <c r="N41" s="234"/>
      <c r="O41" s="234"/>
      <c r="P41" s="234"/>
      <c r="Q41" s="234"/>
    </row>
    <row r="42" spans="2:17">
      <c r="B42" s="117" t="s">
        <v>120</v>
      </c>
      <c r="C42" s="117"/>
      <c r="D42" s="117"/>
      <c r="E42" s="177" t="s">
        <v>117</v>
      </c>
      <c r="F42" s="177"/>
      <c r="G42" s="178" t="s">
        <v>93</v>
      </c>
      <c r="H42" s="178"/>
    </row>
    <row r="43" spans="2:17" ht="9" customHeight="1">
      <c r="B43" s="138"/>
      <c r="C43" s="138"/>
      <c r="D43" s="138"/>
      <c r="E43" s="179" t="s">
        <v>15</v>
      </c>
      <c r="F43" s="179"/>
      <c r="G43" s="179"/>
      <c r="H43" s="179"/>
    </row>
    <row r="44" spans="2:17">
      <c r="C44" s="29"/>
      <c r="E44" s="120"/>
      <c r="F44" s="120"/>
    </row>
  </sheetData>
  <mergeCells count="42">
    <mergeCell ref="G42:H42"/>
    <mergeCell ref="E43:F43"/>
    <mergeCell ref="G43:H43"/>
    <mergeCell ref="G38:H38"/>
    <mergeCell ref="E39:F39"/>
    <mergeCell ref="G39:H39"/>
    <mergeCell ref="E40:F40"/>
    <mergeCell ref="G40:H40"/>
    <mergeCell ref="E38:F38"/>
    <mergeCell ref="E41:F41"/>
    <mergeCell ref="E42:F42"/>
    <mergeCell ref="H35:I35"/>
    <mergeCell ref="E36:F36"/>
    <mergeCell ref="G36:H36"/>
    <mergeCell ref="E37:F37"/>
    <mergeCell ref="G37:H37"/>
    <mergeCell ref="F35:G35"/>
    <mergeCell ref="D35:E35"/>
    <mergeCell ref="D33:E33"/>
    <mergeCell ref="F33:G33"/>
    <mergeCell ref="H33:I33"/>
    <mergeCell ref="D34:E34"/>
    <mergeCell ref="F34:G34"/>
    <mergeCell ref="H34:I34"/>
    <mergeCell ref="B30:I30"/>
    <mergeCell ref="D31:E31"/>
    <mergeCell ref="F31:G31"/>
    <mergeCell ref="H31:I31"/>
    <mergeCell ref="D32:E32"/>
    <mergeCell ref="F32:G32"/>
    <mergeCell ref="H32:I32"/>
    <mergeCell ref="B13:I13"/>
    <mergeCell ref="B14:B15"/>
    <mergeCell ref="C14:C15"/>
    <mergeCell ref="D14:D15"/>
    <mergeCell ref="E14:E15"/>
    <mergeCell ref="F14:F15"/>
    <mergeCell ref="G14:H14"/>
    <mergeCell ref="I14:I15"/>
    <mergeCell ref="B2:I3"/>
    <mergeCell ref="D5:F5"/>
    <mergeCell ref="D12:E12"/>
  </mergeCells>
  <printOptions horizontalCentered="1"/>
  <pageMargins left="0.19685039370078741" right="0.19685039370078741" top="0.19685039370078741" bottom="0.23622047244094491" header="0.31496062992125984" footer="0.31496062992125984"/>
  <pageSetup paperSize="9" scale="42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43"/>
  <sheetViews>
    <sheetView zoomScale="110" zoomScaleNormal="110" workbookViewId="0">
      <selection activeCell="B1" sqref="B1:I1"/>
    </sheetView>
  </sheetViews>
  <sheetFormatPr defaultColWidth="9.140625" defaultRowHeight="15.75" outlineLevelRow="1"/>
  <cols>
    <col min="1" max="1" width="2.85546875" style="1" customWidth="1"/>
    <col min="2" max="2" width="50.5703125" style="1" customWidth="1"/>
    <col min="3" max="3" width="12.7109375" style="35" customWidth="1"/>
    <col min="4" max="4" width="9.140625" style="2" customWidth="1"/>
    <col min="5" max="5" width="10.5703125" style="2" customWidth="1"/>
    <col min="6" max="6" width="10.85546875" style="2" customWidth="1"/>
    <col min="7" max="7" width="9.85546875" style="1" customWidth="1"/>
    <col min="8" max="8" width="10.28515625" style="1" customWidth="1"/>
    <col min="9" max="9" width="10.5703125" style="1" customWidth="1"/>
    <col min="10" max="10" width="12.28515625" style="1" customWidth="1"/>
    <col min="11" max="13" width="9.140625" style="1"/>
    <col min="14" max="14" width="12.7109375" style="232" customWidth="1"/>
    <col min="15" max="15" width="11" style="232" customWidth="1"/>
    <col min="16" max="16" width="11.42578125" style="232" customWidth="1"/>
    <col min="17" max="17" width="12" style="232" customWidth="1"/>
    <col min="18" max="19" width="9.140625" style="232"/>
    <col min="20" max="16384" width="9.140625" style="1"/>
  </cols>
  <sheetData>
    <row r="1" spans="1:18">
      <c r="B1" s="137"/>
      <c r="C1" s="137"/>
      <c r="D1" s="137"/>
      <c r="E1" s="137"/>
      <c r="F1" s="137"/>
      <c r="G1" s="137"/>
      <c r="H1" s="137"/>
      <c r="I1" s="137"/>
    </row>
    <row r="2" spans="1:18" ht="19.5" customHeight="1">
      <c r="A2" s="18"/>
      <c r="B2" s="186" t="s">
        <v>161</v>
      </c>
      <c r="C2" s="186"/>
      <c r="D2" s="186"/>
      <c r="E2" s="186"/>
      <c r="F2" s="186"/>
      <c r="G2" s="186"/>
      <c r="H2" s="186"/>
      <c r="I2" s="186"/>
    </row>
    <row r="3" spans="1:18" ht="20.25" customHeight="1">
      <c r="A3" s="18"/>
      <c r="B3" s="186"/>
      <c r="C3" s="186"/>
      <c r="D3" s="186"/>
      <c r="E3" s="186"/>
      <c r="F3" s="186"/>
      <c r="G3" s="186"/>
      <c r="H3" s="186"/>
      <c r="I3" s="186"/>
    </row>
    <row r="4" spans="1:18" ht="16.5" customHeight="1"/>
    <row r="5" spans="1:18">
      <c r="B5" s="1" t="s">
        <v>0</v>
      </c>
      <c r="D5" s="200" t="s">
        <v>31</v>
      </c>
      <c r="E5" s="200"/>
      <c r="F5" s="200"/>
    </row>
    <row r="6" spans="1:18">
      <c r="B6" s="1" t="s">
        <v>1</v>
      </c>
      <c r="D6" s="11">
        <v>1992</v>
      </c>
      <c r="E6" s="11"/>
      <c r="F6" s="11"/>
    </row>
    <row r="7" spans="1:18" hidden="1" outlineLevel="1">
      <c r="B7" s="1" t="s">
        <v>2</v>
      </c>
      <c r="D7" s="11">
        <v>3</v>
      </c>
      <c r="E7" s="11"/>
      <c r="F7" s="11"/>
    </row>
    <row r="8" spans="1:18" hidden="1" outlineLevel="1">
      <c r="B8" s="1" t="s">
        <v>3</v>
      </c>
      <c r="D8" s="11">
        <v>23</v>
      </c>
      <c r="E8" s="11"/>
      <c r="F8" s="11"/>
    </row>
    <row r="9" spans="1:18" ht="30.75" hidden="1" customHeight="1" outlineLevel="1">
      <c r="B9" s="4" t="s">
        <v>4</v>
      </c>
      <c r="C9" s="36"/>
      <c r="D9" s="11" t="s">
        <v>32</v>
      </c>
      <c r="E9" s="11"/>
      <c r="F9" s="11"/>
    </row>
    <row r="10" spans="1:18" collapsed="1">
      <c r="B10" s="1" t="s">
        <v>5</v>
      </c>
      <c r="D10" s="16" t="s">
        <v>102</v>
      </c>
      <c r="E10" s="11"/>
      <c r="F10" s="11"/>
      <c r="J10" s="6"/>
    </row>
    <row r="11" spans="1:18" hidden="1" outlineLevel="1">
      <c r="B11" s="1" t="s">
        <v>6</v>
      </c>
      <c r="D11" s="11" t="s">
        <v>7</v>
      </c>
      <c r="E11" s="11"/>
      <c r="F11" s="11"/>
    </row>
    <row r="12" spans="1:18" ht="30.75" hidden="1" customHeight="1" outlineLevel="1">
      <c r="B12" s="4" t="s">
        <v>8</v>
      </c>
      <c r="C12" s="36"/>
      <c r="D12" s="201" t="s">
        <v>33</v>
      </c>
      <c r="E12" s="201"/>
      <c r="F12" s="11"/>
      <c r="J12" s="6"/>
    </row>
    <row r="13" spans="1:18" ht="31.5" customHeight="1" collapsed="1" thickBot="1">
      <c r="B13" s="187" t="s">
        <v>132</v>
      </c>
      <c r="C13" s="187"/>
      <c r="D13" s="187"/>
      <c r="E13" s="187"/>
      <c r="F13" s="187"/>
      <c r="G13" s="187"/>
      <c r="H13" s="187"/>
      <c r="I13" s="187"/>
      <c r="J13" s="124"/>
      <c r="K13" s="124"/>
      <c r="M13" s="6"/>
      <c r="N13" s="233" t="s">
        <v>133</v>
      </c>
      <c r="O13" s="233" t="s">
        <v>134</v>
      </c>
      <c r="P13" s="233" t="s">
        <v>135</v>
      </c>
      <c r="Q13" s="233" t="s">
        <v>136</v>
      </c>
    </row>
    <row r="14" spans="1:18" ht="27.75" customHeight="1">
      <c r="B14" s="188" t="s">
        <v>137</v>
      </c>
      <c r="C14" s="190" t="s">
        <v>138</v>
      </c>
      <c r="D14" s="190" t="s">
        <v>139</v>
      </c>
      <c r="E14" s="192" t="s">
        <v>140</v>
      </c>
      <c r="F14" s="194" t="s">
        <v>141</v>
      </c>
      <c r="G14" s="196" t="s">
        <v>142</v>
      </c>
      <c r="H14" s="197"/>
      <c r="I14" s="198" t="s">
        <v>163</v>
      </c>
      <c r="J14" s="125"/>
      <c r="K14" s="125"/>
      <c r="M14" s="6"/>
      <c r="N14" s="233"/>
      <c r="O14" s="233"/>
      <c r="P14" s="233"/>
      <c r="Q14" s="233"/>
    </row>
    <row r="15" spans="1:18" ht="45" customHeight="1" thickBot="1">
      <c r="B15" s="189"/>
      <c r="C15" s="191"/>
      <c r="D15" s="191"/>
      <c r="E15" s="193"/>
      <c r="F15" s="195"/>
      <c r="G15" s="48" t="s">
        <v>121</v>
      </c>
      <c r="H15" s="49" t="s">
        <v>122</v>
      </c>
      <c r="I15" s="199"/>
      <c r="J15" s="125"/>
      <c r="K15" s="125"/>
      <c r="N15" s="234">
        <v>77996.77</v>
      </c>
      <c r="O15" s="234">
        <v>87955.22</v>
      </c>
      <c r="P15" s="234">
        <f>76452.75*1.02</f>
        <v>77981.805000000008</v>
      </c>
      <c r="Q15" s="234">
        <f>85490.89*1.02</f>
        <v>87200.707800000004</v>
      </c>
      <c r="R15" s="232">
        <f>(N15+O15)/(P15+Q15)*100</f>
        <v>100.46583454080979</v>
      </c>
    </row>
    <row r="16" spans="1:18" ht="50.25" customHeight="1">
      <c r="B16" s="110" t="s">
        <v>143</v>
      </c>
      <c r="C16" s="51" t="s">
        <v>144</v>
      </c>
      <c r="D16" s="52" t="s">
        <v>145</v>
      </c>
      <c r="E16" s="53">
        <v>1.01</v>
      </c>
      <c r="F16" s="54">
        <v>1.05</v>
      </c>
      <c r="G16" s="55">
        <f>($N$15/$N$16*E16)+($O$15/$O$16*F16)</f>
        <v>18933.83866936477</v>
      </c>
      <c r="H16" s="56">
        <f>($P$15/$P$16*E16)+($Q$15/$Q$16*F16)</f>
        <v>18849.694631354017</v>
      </c>
      <c r="I16" s="57">
        <f>H16-G16</f>
        <v>-84.144038010752411</v>
      </c>
      <c r="J16" s="126"/>
      <c r="K16" s="126"/>
      <c r="L16" s="7"/>
      <c r="M16" s="58"/>
      <c r="N16" s="235">
        <v>8.44</v>
      </c>
      <c r="O16" s="234">
        <v>9.6199999999999992</v>
      </c>
      <c r="P16" s="235">
        <v>8.44</v>
      </c>
      <c r="Q16" s="234">
        <v>9.6199999999999992</v>
      </c>
    </row>
    <row r="17" spans="2:17" ht="51">
      <c r="B17" s="127" t="s">
        <v>129</v>
      </c>
      <c r="C17" s="51" t="s">
        <v>144</v>
      </c>
      <c r="D17" s="52" t="s">
        <v>145</v>
      </c>
      <c r="E17" s="41">
        <v>1.1299999999999999</v>
      </c>
      <c r="F17" s="144">
        <v>1.17</v>
      </c>
      <c r="G17" s="55">
        <f t="shared" ref="G17:G27" si="0">($N$15/$N$16*E17)+($O$15/$O$16*F17)</f>
        <v>21139.951995965159</v>
      </c>
      <c r="H17" s="56">
        <f t="shared" ref="H17:H21" si="1">($P$15/$P$16*E17)+($Q$15/$Q$16*F17)</f>
        <v>21046.18339084796</v>
      </c>
      <c r="I17" s="57">
        <f t="shared" ref="I17:I27" si="2">H17-G17</f>
        <v>-93.768605117198604</v>
      </c>
      <c r="J17" s="126"/>
      <c r="K17" s="126"/>
      <c r="L17" s="8"/>
      <c r="M17" s="8"/>
      <c r="N17" s="236"/>
      <c r="O17" s="237"/>
      <c r="P17" s="237"/>
      <c r="Q17" s="237"/>
    </row>
    <row r="18" spans="2:17" ht="52.5" customHeight="1">
      <c r="B18" s="62" t="s">
        <v>123</v>
      </c>
      <c r="C18" s="51" t="s">
        <v>144</v>
      </c>
      <c r="D18" s="52" t="s">
        <v>145</v>
      </c>
      <c r="E18" s="41">
        <v>0.28000000000000003</v>
      </c>
      <c r="F18" s="144">
        <v>0.27</v>
      </c>
      <c r="G18" s="55">
        <f t="shared" si="0"/>
        <v>5056.1682194480309</v>
      </c>
      <c r="H18" s="56">
        <f t="shared" si="1"/>
        <v>5034.4952124158808</v>
      </c>
      <c r="I18" s="57">
        <f t="shared" si="2"/>
        <v>-21.673007032150053</v>
      </c>
      <c r="J18" s="126"/>
      <c r="K18" s="126"/>
      <c r="M18" s="6"/>
      <c r="N18" s="234"/>
      <c r="O18" s="234"/>
      <c r="P18" s="234"/>
      <c r="Q18" s="234"/>
    </row>
    <row r="19" spans="2:17" ht="25.5">
      <c r="B19" s="62" t="s">
        <v>146</v>
      </c>
      <c r="C19" s="59" t="s">
        <v>147</v>
      </c>
      <c r="D19" s="52" t="s">
        <v>145</v>
      </c>
      <c r="E19" s="41">
        <v>0</v>
      </c>
      <c r="F19" s="144">
        <v>0</v>
      </c>
      <c r="G19" s="55">
        <f t="shared" si="0"/>
        <v>0</v>
      </c>
      <c r="H19" s="56">
        <f t="shared" si="1"/>
        <v>0</v>
      </c>
      <c r="I19" s="57">
        <f t="shared" si="2"/>
        <v>0</v>
      </c>
      <c r="J19" s="126"/>
      <c r="K19" s="126"/>
      <c r="M19" s="6"/>
      <c r="N19" s="234"/>
      <c r="O19" s="234"/>
      <c r="P19" s="234"/>
      <c r="Q19" s="234"/>
    </row>
    <row r="20" spans="2:17" ht="51">
      <c r="B20" s="127" t="s">
        <v>124</v>
      </c>
      <c r="C20" s="51" t="s">
        <v>144</v>
      </c>
      <c r="D20" s="52" t="s">
        <v>145</v>
      </c>
      <c r="E20" s="41">
        <v>1.1399999999999999</v>
      </c>
      <c r="F20" s="144">
        <v>1.33</v>
      </c>
      <c r="G20" s="55">
        <f t="shared" si="0"/>
        <v>22695.237912475</v>
      </c>
      <c r="H20" s="56">
        <f t="shared" si="1"/>
        <v>22588.902516855684</v>
      </c>
      <c r="I20" s="57">
        <f t="shared" si="2"/>
        <v>-106.33539561931684</v>
      </c>
      <c r="J20" s="126"/>
      <c r="K20" s="126"/>
      <c r="N20" s="234"/>
      <c r="O20" s="234"/>
      <c r="P20" s="234"/>
      <c r="Q20" s="234"/>
    </row>
    <row r="21" spans="2:17" ht="145.5" customHeight="1">
      <c r="B21" s="127" t="s">
        <v>125</v>
      </c>
      <c r="C21" s="51" t="s">
        <v>148</v>
      </c>
      <c r="D21" s="52" t="s">
        <v>145</v>
      </c>
      <c r="E21" s="41">
        <v>3.67</v>
      </c>
      <c r="F21" s="144">
        <v>3.14</v>
      </c>
      <c r="G21" s="55">
        <f t="shared" si="0"/>
        <v>62624.533479692785</v>
      </c>
      <c r="H21" s="56">
        <f t="shared" si="1"/>
        <v>62371.75089514687</v>
      </c>
      <c r="I21" s="57">
        <f t="shared" si="2"/>
        <v>-252.7825845459156</v>
      </c>
      <c r="J21" s="126"/>
      <c r="K21" s="126"/>
      <c r="L21" s="8"/>
      <c r="M21" s="60"/>
      <c r="N21" s="237"/>
      <c r="O21" s="237"/>
      <c r="P21" s="237"/>
      <c r="Q21" s="237"/>
    </row>
    <row r="22" spans="2:17" ht="27.75" customHeight="1">
      <c r="B22" s="62" t="s">
        <v>149</v>
      </c>
      <c r="C22" s="51" t="s">
        <v>147</v>
      </c>
      <c r="D22" s="52" t="s">
        <v>145</v>
      </c>
      <c r="E22" s="41">
        <v>1.94</v>
      </c>
      <c r="F22" s="144">
        <v>2</v>
      </c>
      <c r="G22" s="55">
        <v>34869.78</v>
      </c>
      <c r="H22" s="40">
        <v>35333.46</v>
      </c>
      <c r="I22" s="57">
        <f t="shared" si="2"/>
        <v>463.68000000000029</v>
      </c>
      <c r="J22" s="126"/>
      <c r="K22" s="126"/>
      <c r="N22" s="234"/>
      <c r="O22" s="234"/>
      <c r="P22" s="234"/>
      <c r="Q22" s="234"/>
    </row>
    <row r="23" spans="2:17" ht="108.75" customHeight="1">
      <c r="B23" s="127" t="s">
        <v>150</v>
      </c>
      <c r="C23" s="51" t="s">
        <v>144</v>
      </c>
      <c r="D23" s="52" t="s">
        <v>145</v>
      </c>
      <c r="E23" s="41">
        <v>0.22</v>
      </c>
      <c r="F23" s="144">
        <v>0.21</v>
      </c>
      <c r="G23" s="55">
        <f t="shared" si="0"/>
        <v>3953.1115561478359</v>
      </c>
      <c r="H23" s="56">
        <f t="shared" ref="H23" si="3">($P$15/$P$16*E23)+($Q$15/$Q$16*F23)</f>
        <v>3936.2508326689076</v>
      </c>
      <c r="I23" s="57">
        <f t="shared" si="2"/>
        <v>-16.860723478928321</v>
      </c>
      <c r="J23" s="126"/>
      <c r="K23" s="126"/>
      <c r="N23" s="234"/>
      <c r="O23" s="234"/>
      <c r="P23" s="234"/>
      <c r="Q23" s="234"/>
    </row>
    <row r="24" spans="2:17" ht="48">
      <c r="B24" s="62" t="s">
        <v>151</v>
      </c>
      <c r="C24" s="51" t="s">
        <v>144</v>
      </c>
      <c r="D24" s="52" t="s">
        <v>145</v>
      </c>
      <c r="E24" s="41">
        <v>5.09</v>
      </c>
      <c r="F24" s="144">
        <v>5.09</v>
      </c>
      <c r="G24" s="55">
        <v>94076.67</v>
      </c>
      <c r="H24" s="128">
        <v>93086</v>
      </c>
      <c r="I24" s="57">
        <f t="shared" si="2"/>
        <v>-990.66999999999825</v>
      </c>
      <c r="J24" s="126"/>
      <c r="K24" s="126"/>
      <c r="M24" s="6"/>
      <c r="N24" s="234"/>
      <c r="O24" s="234"/>
      <c r="P24" s="234"/>
      <c r="Q24" s="234"/>
    </row>
    <row r="25" spans="2:17" ht="63.75">
      <c r="B25" s="127" t="s">
        <v>152</v>
      </c>
      <c r="C25" s="59" t="s">
        <v>148</v>
      </c>
      <c r="D25" s="52" t="s">
        <v>145</v>
      </c>
      <c r="E25" s="41">
        <v>0.71</v>
      </c>
      <c r="F25" s="144">
        <v>1.44</v>
      </c>
      <c r="G25" s="55">
        <f t="shared" si="0"/>
        <v>19727.193793612241</v>
      </c>
      <c r="H25" s="56">
        <f t="shared" ref="H25:H27" si="4">($P$15/$P$16*E25)+($Q$15/$Q$16*F25)</f>
        <v>19612.99335444867</v>
      </c>
      <c r="I25" s="57">
        <f t="shared" si="2"/>
        <v>-114.20043916357099</v>
      </c>
      <c r="J25" s="126"/>
      <c r="K25" s="126"/>
      <c r="L25" s="145"/>
      <c r="M25" s="6"/>
      <c r="N25" s="234"/>
      <c r="O25" s="234"/>
      <c r="P25" s="234"/>
      <c r="Q25" s="234"/>
    </row>
    <row r="26" spans="2:17" ht="63.75">
      <c r="B26" s="127" t="s">
        <v>126</v>
      </c>
      <c r="C26" s="59" t="s">
        <v>148</v>
      </c>
      <c r="D26" s="52" t="s">
        <v>145</v>
      </c>
      <c r="E26" s="41">
        <v>0.25</v>
      </c>
      <c r="F26" s="144">
        <v>0.83</v>
      </c>
      <c r="G26" s="55">
        <f t="shared" si="0"/>
        <v>9898.9829023509483</v>
      </c>
      <c r="H26" s="56">
        <f t="shared" si="4"/>
        <v>9833.4413803386524</v>
      </c>
      <c r="I26" s="57">
        <f t="shared" si="2"/>
        <v>-65.5415220122959</v>
      </c>
      <c r="J26" s="126"/>
      <c r="K26" s="126"/>
      <c r="L26" s="64"/>
      <c r="M26" s="6"/>
      <c r="N26" s="238"/>
      <c r="O26" s="238"/>
      <c r="P26" s="234"/>
      <c r="Q26" s="234"/>
    </row>
    <row r="27" spans="2:17">
      <c r="B27" s="62" t="s">
        <v>127</v>
      </c>
      <c r="C27" s="129" t="s">
        <v>148</v>
      </c>
      <c r="D27" s="52" t="s">
        <v>145</v>
      </c>
      <c r="E27" s="41">
        <v>0.03</v>
      </c>
      <c r="F27" s="144">
        <v>0.18</v>
      </c>
      <c r="G27" s="55">
        <f t="shared" si="0"/>
        <v>1922.9714709432365</v>
      </c>
      <c r="H27" s="56">
        <f t="shared" si="4"/>
        <v>1908.8005859233826</v>
      </c>
      <c r="I27" s="57">
        <f t="shared" si="2"/>
        <v>-14.170885019853813</v>
      </c>
      <c r="J27" s="126"/>
      <c r="K27" s="126"/>
      <c r="N27" s="234"/>
      <c r="O27" s="234"/>
      <c r="P27" s="234"/>
      <c r="Q27" s="234"/>
    </row>
    <row r="28" spans="2:17" ht="16.5" thickBot="1">
      <c r="B28" s="33" t="s">
        <v>128</v>
      </c>
      <c r="C28" s="130"/>
      <c r="D28" s="130"/>
      <c r="E28" s="34">
        <f>SUM(E16:E27)</f>
        <v>15.47</v>
      </c>
      <c r="F28" s="131">
        <f>SUM(F16:F27)</f>
        <v>16.71</v>
      </c>
      <c r="G28" s="132">
        <f>SUM(G16:G27)</f>
        <v>294898.44</v>
      </c>
      <c r="H28" s="133">
        <f>SUM(H16:H27)</f>
        <v>293601.97279999999</v>
      </c>
      <c r="I28" s="134">
        <f>H28-G28</f>
        <v>-1296.4672000000137</v>
      </c>
      <c r="J28" s="135"/>
      <c r="K28" s="135"/>
      <c r="N28" s="234"/>
      <c r="O28" s="234"/>
      <c r="P28" s="234"/>
      <c r="Q28" s="234"/>
    </row>
    <row r="29" spans="2:17">
      <c r="B29" s="6"/>
      <c r="C29" s="6"/>
      <c r="D29" s="6"/>
      <c r="E29" s="29"/>
      <c r="F29" s="29"/>
      <c r="G29" s="29"/>
      <c r="H29" s="29"/>
      <c r="I29" s="2"/>
      <c r="J29" s="2"/>
      <c r="K29" s="2"/>
      <c r="N29" s="234"/>
      <c r="O29" s="234"/>
      <c r="P29" s="234"/>
      <c r="Q29" s="234"/>
    </row>
    <row r="30" spans="2:17" ht="16.5" thickBot="1">
      <c r="B30" s="207" t="s">
        <v>153</v>
      </c>
      <c r="C30" s="207"/>
      <c r="D30" s="207"/>
      <c r="E30" s="207"/>
      <c r="F30" s="207"/>
      <c r="G30" s="207"/>
      <c r="H30" s="207"/>
      <c r="I30" s="207"/>
      <c r="J30" s="141"/>
      <c r="K30" s="141"/>
      <c r="N30" s="234"/>
      <c r="O30" s="234"/>
      <c r="P30" s="234"/>
      <c r="Q30" s="234"/>
    </row>
    <row r="31" spans="2:17" ht="44.25" customHeight="1">
      <c r="B31" s="20"/>
      <c r="C31" s="65"/>
      <c r="D31" s="208" t="s">
        <v>154</v>
      </c>
      <c r="E31" s="209"/>
      <c r="F31" s="210" t="s">
        <v>10</v>
      </c>
      <c r="G31" s="211"/>
      <c r="H31" s="210" t="s">
        <v>11</v>
      </c>
      <c r="I31" s="212"/>
      <c r="J31" s="145"/>
      <c r="K31" s="145"/>
      <c r="L31" s="24"/>
      <c r="M31" s="9"/>
      <c r="N31" s="238"/>
      <c r="O31" s="238"/>
      <c r="P31" s="238"/>
      <c r="Q31" s="238"/>
    </row>
    <row r="32" spans="2:17">
      <c r="B32" s="21" t="s">
        <v>12</v>
      </c>
      <c r="C32" s="67"/>
      <c r="D32" s="203">
        <f>F32+H32</f>
        <v>294898.44</v>
      </c>
      <c r="E32" s="204"/>
      <c r="F32" s="203">
        <f>77996.77+87955.22+34869.78</f>
        <v>200821.77</v>
      </c>
      <c r="G32" s="204"/>
      <c r="H32" s="203">
        <f>G24</f>
        <v>94076.67</v>
      </c>
      <c r="I32" s="213"/>
      <c r="J32" s="146"/>
      <c r="K32" s="146"/>
      <c r="L32" s="10"/>
      <c r="M32" s="10"/>
      <c r="N32" s="234"/>
      <c r="O32" s="234"/>
      <c r="P32" s="234"/>
      <c r="Q32" s="234"/>
    </row>
    <row r="33" spans="2:17">
      <c r="B33" s="21" t="s">
        <v>13</v>
      </c>
      <c r="C33" s="67"/>
      <c r="D33" s="203">
        <f>F33+H33</f>
        <v>262129.47999999998</v>
      </c>
      <c r="E33" s="204"/>
      <c r="F33" s="203">
        <f>69411.14+78273.4+30723.92</f>
        <v>178408.45999999996</v>
      </c>
      <c r="G33" s="204"/>
      <c r="H33" s="203">
        <v>83721.02</v>
      </c>
      <c r="I33" s="213"/>
      <c r="J33" s="146"/>
      <c r="K33" s="146"/>
      <c r="L33" s="25"/>
      <c r="M33" s="10"/>
      <c r="N33" s="234"/>
      <c r="O33" s="234"/>
      <c r="P33" s="234"/>
      <c r="Q33" s="234"/>
    </row>
    <row r="34" spans="2:17" ht="16.5" thickBot="1">
      <c r="B34" s="22" t="s">
        <v>114</v>
      </c>
      <c r="C34" s="69"/>
      <c r="D34" s="205">
        <f>F34+H34</f>
        <v>293601.97280000005</v>
      </c>
      <c r="E34" s="206"/>
      <c r="F34" s="205">
        <f>H16+H17+H18+H19+H20+H21+H22+H23+H25+H26+H27</f>
        <v>200515.97280000005</v>
      </c>
      <c r="G34" s="206"/>
      <c r="H34" s="205">
        <f>H24</f>
        <v>93086</v>
      </c>
      <c r="I34" s="214"/>
      <c r="J34" s="146"/>
      <c r="K34" s="146"/>
      <c r="L34" s="10"/>
      <c r="M34" s="10"/>
      <c r="N34" s="234"/>
      <c r="O34" s="234"/>
      <c r="P34" s="234"/>
      <c r="Q34" s="234"/>
    </row>
    <row r="35" spans="2:17" ht="27" thickBot="1">
      <c r="B35" s="23" t="s">
        <v>115</v>
      </c>
      <c r="C35" s="72"/>
      <c r="D35" s="184">
        <f>F35+H35</f>
        <v>-31472.49280000008</v>
      </c>
      <c r="E35" s="185"/>
      <c r="F35" s="182">
        <f>F33-F34</f>
        <v>-22107.512800000084</v>
      </c>
      <c r="G35" s="183"/>
      <c r="H35" s="182">
        <f>H33-H34</f>
        <v>-9364.9799999999959</v>
      </c>
      <c r="I35" s="202"/>
      <c r="J35" s="146"/>
      <c r="K35" s="146"/>
      <c r="L35" s="10"/>
      <c r="M35" s="10"/>
      <c r="N35" s="234"/>
      <c r="O35" s="234"/>
      <c r="P35" s="234"/>
      <c r="Q35" s="234"/>
    </row>
    <row r="36" spans="2:17" ht="34.5" customHeight="1">
      <c r="B36" s="139" t="s">
        <v>116</v>
      </c>
      <c r="C36" s="139"/>
      <c r="D36" s="136"/>
      <c r="E36" s="180" t="s">
        <v>117</v>
      </c>
      <c r="F36" s="180"/>
      <c r="G36" s="178" t="s">
        <v>14</v>
      </c>
      <c r="H36" s="178"/>
      <c r="I36" s="139"/>
      <c r="J36" s="139"/>
      <c r="K36" s="139"/>
      <c r="L36" s="8"/>
      <c r="M36" s="8"/>
      <c r="N36" s="237"/>
      <c r="O36" s="237"/>
      <c r="P36" s="237"/>
      <c r="Q36" s="237"/>
    </row>
    <row r="37" spans="2:17" ht="11.25" customHeight="1">
      <c r="B37" s="139"/>
      <c r="C37" s="139"/>
      <c r="D37" s="139"/>
      <c r="E37" s="179" t="s">
        <v>15</v>
      </c>
      <c r="F37" s="179"/>
      <c r="G37" s="181"/>
      <c r="H37" s="181"/>
      <c r="I37" s="140"/>
      <c r="J37" s="140"/>
      <c r="K37" s="140"/>
      <c r="L37" s="8"/>
      <c r="M37" s="8"/>
      <c r="N37" s="237"/>
      <c r="O37" s="237"/>
      <c r="P37" s="237"/>
      <c r="Q37" s="237"/>
    </row>
    <row r="38" spans="2:17">
      <c r="B38" s="139" t="s">
        <v>118</v>
      </c>
      <c r="C38" s="139"/>
      <c r="D38" s="139"/>
      <c r="E38" s="177" t="s">
        <v>117</v>
      </c>
      <c r="F38" s="177"/>
      <c r="G38" s="178" t="s">
        <v>131</v>
      </c>
      <c r="H38" s="178"/>
      <c r="I38" s="139"/>
      <c r="J38" s="139"/>
      <c r="K38" s="139"/>
      <c r="L38" s="8"/>
      <c r="M38" s="8"/>
      <c r="N38" s="237"/>
      <c r="O38" s="237"/>
      <c r="P38" s="237"/>
      <c r="Q38" s="237"/>
    </row>
    <row r="39" spans="2:17" ht="9.75" customHeight="1">
      <c r="B39" s="139"/>
      <c r="C39" s="139"/>
      <c r="D39" s="139"/>
      <c r="E39" s="179" t="s">
        <v>15</v>
      </c>
      <c r="F39" s="179"/>
      <c r="G39" s="178"/>
      <c r="H39" s="178"/>
      <c r="I39" s="139"/>
      <c r="J39" s="139"/>
      <c r="K39" s="139"/>
      <c r="N39" s="234"/>
      <c r="O39" s="234"/>
      <c r="P39" s="234"/>
      <c r="Q39" s="234"/>
    </row>
    <row r="40" spans="2:17">
      <c r="B40" s="139" t="s">
        <v>119</v>
      </c>
      <c r="C40" s="139"/>
      <c r="D40" s="139"/>
      <c r="E40" s="177" t="s">
        <v>117</v>
      </c>
      <c r="F40" s="177"/>
      <c r="G40" s="178" t="s">
        <v>157</v>
      </c>
      <c r="H40" s="178"/>
      <c r="I40" s="139"/>
      <c r="J40" s="139"/>
      <c r="K40" s="139"/>
      <c r="N40" s="234"/>
      <c r="O40" s="234"/>
      <c r="P40" s="234"/>
      <c r="Q40" s="234"/>
    </row>
    <row r="41" spans="2:17" ht="8.25" customHeight="1">
      <c r="B41" s="27"/>
      <c r="C41" s="27"/>
      <c r="D41" s="27"/>
      <c r="E41" s="179" t="s">
        <v>15</v>
      </c>
      <c r="F41" s="179"/>
      <c r="G41" s="143"/>
      <c r="H41" s="137"/>
      <c r="I41" s="142"/>
      <c r="J41" s="142"/>
      <c r="K41" s="142"/>
      <c r="N41" s="234"/>
      <c r="O41" s="234"/>
      <c r="P41" s="234"/>
      <c r="Q41" s="234"/>
    </row>
    <row r="42" spans="2:17">
      <c r="B42" s="139" t="s">
        <v>120</v>
      </c>
      <c r="C42" s="139"/>
      <c r="D42" s="139"/>
      <c r="E42" s="177" t="s">
        <v>117</v>
      </c>
      <c r="F42" s="177"/>
      <c r="G42" s="178" t="s">
        <v>93</v>
      </c>
      <c r="H42" s="178"/>
    </row>
    <row r="43" spans="2:17" ht="9" customHeight="1">
      <c r="B43" s="138"/>
      <c r="C43" s="138"/>
      <c r="D43" s="138"/>
      <c r="E43" s="179" t="s">
        <v>15</v>
      </c>
      <c r="F43" s="179"/>
      <c r="G43" s="179"/>
      <c r="H43" s="179"/>
    </row>
  </sheetData>
  <mergeCells count="42">
    <mergeCell ref="B2:I3"/>
    <mergeCell ref="B13:I13"/>
    <mergeCell ref="B14:B15"/>
    <mergeCell ref="C14:C15"/>
    <mergeCell ref="D14:D15"/>
    <mergeCell ref="E14:E15"/>
    <mergeCell ref="F14:F15"/>
    <mergeCell ref="G14:H14"/>
    <mergeCell ref="I14:I15"/>
    <mergeCell ref="D5:F5"/>
    <mergeCell ref="D12:E12"/>
    <mergeCell ref="B30:I30"/>
    <mergeCell ref="D31:E31"/>
    <mergeCell ref="F31:G31"/>
    <mergeCell ref="H31:I31"/>
    <mergeCell ref="D32:E32"/>
    <mergeCell ref="F32:G32"/>
    <mergeCell ref="H32:I32"/>
    <mergeCell ref="D33:E33"/>
    <mergeCell ref="F33:G33"/>
    <mergeCell ref="H33:I33"/>
    <mergeCell ref="H34:I34"/>
    <mergeCell ref="H35:I35"/>
    <mergeCell ref="D35:E35"/>
    <mergeCell ref="D34:E34"/>
    <mergeCell ref="F34:G34"/>
    <mergeCell ref="F35:G35"/>
    <mergeCell ref="G36:H36"/>
    <mergeCell ref="E37:F37"/>
    <mergeCell ref="G37:H37"/>
    <mergeCell ref="E38:F38"/>
    <mergeCell ref="G38:H38"/>
    <mergeCell ref="E36:F36"/>
    <mergeCell ref="E43:F43"/>
    <mergeCell ref="G43:H43"/>
    <mergeCell ref="G39:H39"/>
    <mergeCell ref="E40:F40"/>
    <mergeCell ref="G40:H40"/>
    <mergeCell ref="E41:F41"/>
    <mergeCell ref="E42:F42"/>
    <mergeCell ref="G42:H42"/>
    <mergeCell ref="E39:F39"/>
  </mergeCells>
  <printOptions horizontalCentered="1"/>
  <pageMargins left="0.19685039370078741" right="0.19685039370078741" top="0.19685039370078741" bottom="0.23622047244094491" header="0.31496062992125984" footer="0.31496062992125984"/>
  <pageSetup paperSize="9" scale="44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43"/>
  <sheetViews>
    <sheetView zoomScale="110" zoomScaleNormal="110" workbookViewId="0">
      <selection activeCell="B1" sqref="B1:I1"/>
    </sheetView>
  </sheetViews>
  <sheetFormatPr defaultColWidth="9.140625" defaultRowHeight="15.75" outlineLevelRow="1"/>
  <cols>
    <col min="1" max="1" width="2.85546875" style="1" customWidth="1"/>
    <col min="2" max="2" width="50.140625" style="1" customWidth="1"/>
    <col min="3" max="3" width="12" style="35" customWidth="1"/>
    <col min="4" max="4" width="8.42578125" style="2" customWidth="1"/>
    <col min="5" max="5" width="10.28515625" style="2" customWidth="1"/>
    <col min="6" max="6" width="10.7109375" style="2" customWidth="1"/>
    <col min="7" max="7" width="10.140625" style="1" customWidth="1"/>
    <col min="8" max="9" width="10.42578125" style="1" customWidth="1"/>
    <col min="10" max="10" width="12.28515625" style="1" customWidth="1"/>
    <col min="11" max="13" width="9.140625" style="1"/>
    <col min="14" max="14" width="11.42578125" style="232" customWidth="1"/>
    <col min="15" max="15" width="13.85546875" style="232" customWidth="1"/>
    <col min="16" max="16" width="13.42578125" style="232" customWidth="1"/>
    <col min="17" max="17" width="16.28515625" style="232" customWidth="1"/>
    <col min="18" max="19" width="9.140625" style="232"/>
    <col min="20" max="16384" width="9.140625" style="1"/>
  </cols>
  <sheetData>
    <row r="1" spans="1:18">
      <c r="B1" s="137"/>
      <c r="C1" s="137"/>
      <c r="D1" s="137"/>
      <c r="E1" s="137"/>
      <c r="F1" s="137"/>
      <c r="G1" s="137"/>
      <c r="H1" s="137"/>
      <c r="I1" s="137"/>
    </row>
    <row r="2" spans="1:18" ht="19.5" customHeight="1">
      <c r="A2" s="18"/>
      <c r="B2" s="186" t="s">
        <v>161</v>
      </c>
      <c r="C2" s="186"/>
      <c r="D2" s="186"/>
      <c r="E2" s="186"/>
      <c r="F2" s="186"/>
      <c r="G2" s="186"/>
      <c r="H2" s="186"/>
      <c r="I2" s="186"/>
    </row>
    <row r="3" spans="1:18" ht="20.25" customHeight="1">
      <c r="A3" s="18"/>
      <c r="B3" s="186"/>
      <c r="C3" s="186"/>
      <c r="D3" s="186"/>
      <c r="E3" s="186"/>
      <c r="F3" s="186"/>
      <c r="G3" s="186"/>
      <c r="H3" s="186"/>
      <c r="I3" s="186"/>
    </row>
    <row r="4" spans="1:18" ht="15" customHeight="1"/>
    <row r="5" spans="1:18">
      <c r="B5" s="1" t="s">
        <v>0</v>
      </c>
      <c r="D5" s="200" t="s">
        <v>34</v>
      </c>
      <c r="E5" s="200"/>
      <c r="F5" s="200"/>
    </row>
    <row r="6" spans="1:18">
      <c r="B6" s="1" t="s">
        <v>1</v>
      </c>
      <c r="D6" s="11">
        <v>1960</v>
      </c>
      <c r="E6" s="11"/>
      <c r="F6" s="11"/>
    </row>
    <row r="7" spans="1:18" hidden="1" outlineLevel="1">
      <c r="B7" s="1" t="s">
        <v>2</v>
      </c>
      <c r="D7" s="11">
        <v>2</v>
      </c>
      <c r="E7" s="11"/>
      <c r="F7" s="11"/>
    </row>
    <row r="8" spans="1:18" hidden="1" outlineLevel="1">
      <c r="B8" s="1" t="s">
        <v>3</v>
      </c>
      <c r="D8" s="11">
        <v>16</v>
      </c>
      <c r="E8" s="11"/>
      <c r="F8" s="11"/>
    </row>
    <row r="9" spans="1:18" ht="30.75" hidden="1" customHeight="1" outlineLevel="1">
      <c r="B9" s="4" t="s">
        <v>4</v>
      </c>
      <c r="C9" s="36"/>
      <c r="D9" s="11" t="s">
        <v>35</v>
      </c>
      <c r="E9" s="11"/>
      <c r="F9" s="11"/>
    </row>
    <row r="10" spans="1:18" collapsed="1">
      <c r="B10" s="1" t="s">
        <v>5</v>
      </c>
      <c r="D10" s="16" t="s">
        <v>103</v>
      </c>
      <c r="E10" s="11"/>
      <c r="F10" s="11"/>
      <c r="J10" s="6"/>
    </row>
    <row r="11" spans="1:18" hidden="1" outlineLevel="1">
      <c r="B11" s="1" t="s">
        <v>6</v>
      </c>
      <c r="D11" s="11" t="s">
        <v>7</v>
      </c>
      <c r="E11" s="11"/>
      <c r="F11" s="11"/>
    </row>
    <row r="12" spans="1:18" ht="30.75" hidden="1" customHeight="1" outlineLevel="1">
      <c r="B12" s="4" t="s">
        <v>8</v>
      </c>
      <c r="C12" s="36"/>
      <c r="D12" s="201" t="s">
        <v>36</v>
      </c>
      <c r="E12" s="201"/>
      <c r="F12" s="11"/>
      <c r="J12" s="6"/>
    </row>
    <row r="13" spans="1:18" ht="31.5" customHeight="1" collapsed="1" thickBot="1">
      <c r="B13" s="187" t="s">
        <v>132</v>
      </c>
      <c r="C13" s="187"/>
      <c r="D13" s="187"/>
      <c r="E13" s="187"/>
      <c r="F13" s="187"/>
      <c r="G13" s="187"/>
      <c r="H13" s="187"/>
      <c r="I13" s="187"/>
      <c r="J13" s="124"/>
      <c r="K13" s="124"/>
      <c r="M13" s="6"/>
      <c r="N13" s="233" t="s">
        <v>133</v>
      </c>
      <c r="O13" s="233" t="s">
        <v>134</v>
      </c>
      <c r="P13" s="233" t="s">
        <v>135</v>
      </c>
      <c r="Q13" s="233" t="s">
        <v>136</v>
      </c>
    </row>
    <row r="14" spans="1:18" ht="27.75" customHeight="1">
      <c r="B14" s="188" t="s">
        <v>137</v>
      </c>
      <c r="C14" s="190" t="s">
        <v>138</v>
      </c>
      <c r="D14" s="190" t="s">
        <v>139</v>
      </c>
      <c r="E14" s="192" t="s">
        <v>140</v>
      </c>
      <c r="F14" s="194" t="s">
        <v>141</v>
      </c>
      <c r="G14" s="196" t="s">
        <v>142</v>
      </c>
      <c r="H14" s="197"/>
      <c r="I14" s="198" t="s">
        <v>163</v>
      </c>
      <c r="J14" s="125"/>
      <c r="K14" s="125"/>
      <c r="M14" s="6"/>
      <c r="N14" s="233"/>
      <c r="O14" s="233"/>
      <c r="P14" s="233"/>
      <c r="Q14" s="233"/>
    </row>
    <row r="15" spans="1:18" ht="45" customHeight="1" thickBot="1">
      <c r="B15" s="189"/>
      <c r="C15" s="191"/>
      <c r="D15" s="191"/>
      <c r="E15" s="193"/>
      <c r="F15" s="195"/>
      <c r="G15" s="48" t="s">
        <v>121</v>
      </c>
      <c r="H15" s="49" t="s">
        <v>122</v>
      </c>
      <c r="I15" s="199"/>
      <c r="J15" s="125"/>
      <c r="K15" s="125"/>
      <c r="N15" s="234">
        <v>26268.31</v>
      </c>
      <c r="O15" s="234">
        <v>30484.55</v>
      </c>
      <c r="P15" s="234">
        <v>26326.62</v>
      </c>
      <c r="Q15" s="234">
        <v>29438.92</v>
      </c>
      <c r="R15" s="232">
        <f>(N15+O15)/(P15+Q15)*100</f>
        <v>101.7704840659662</v>
      </c>
    </row>
    <row r="16" spans="1:18" ht="50.25" customHeight="1">
      <c r="B16" s="110" t="s">
        <v>143</v>
      </c>
      <c r="C16" s="51" t="s">
        <v>144</v>
      </c>
      <c r="D16" s="52" t="s">
        <v>145</v>
      </c>
      <c r="E16" s="53">
        <v>1.01</v>
      </c>
      <c r="F16" s="54">
        <v>1.05</v>
      </c>
      <c r="G16" s="55">
        <f>($N$15/$N$16*E16)+($O$15/$O$16*F16)</f>
        <v>6811.2961135963296</v>
      </c>
      <c r="H16" s="56">
        <f>($P$15/$P$16*E16)+($Q$15/$Q$16*F16)</f>
        <v>6700.3138813649584</v>
      </c>
      <c r="I16" s="57">
        <f>H16-G16</f>
        <v>-110.9822322313712</v>
      </c>
      <c r="J16" s="126"/>
      <c r="K16" s="126"/>
      <c r="L16" s="7"/>
      <c r="M16" s="58"/>
      <c r="N16" s="235">
        <v>7.9</v>
      </c>
      <c r="O16" s="234">
        <v>9.27</v>
      </c>
      <c r="P16" s="235">
        <v>7.9</v>
      </c>
      <c r="Q16" s="234">
        <v>9.27</v>
      </c>
    </row>
    <row r="17" spans="2:17" ht="51">
      <c r="B17" s="127" t="s">
        <v>129</v>
      </c>
      <c r="C17" s="51" t="s">
        <v>144</v>
      </c>
      <c r="D17" s="52" t="s">
        <v>145</v>
      </c>
      <c r="E17" s="41">
        <v>1.1299999999999999</v>
      </c>
      <c r="F17" s="144">
        <v>1.17</v>
      </c>
      <c r="G17" s="55">
        <f t="shared" ref="G17:G27" si="0">($N$15/$N$16*E17)+($O$15/$O$16*F17)</f>
        <v>7604.9304238662899</v>
      </c>
      <c r="H17" s="56">
        <f t="shared" ref="H17:H21" si="1">($P$15/$P$16*E17)+($Q$15/$Q$16*F17)</f>
        <v>7481.2982497234843</v>
      </c>
      <c r="I17" s="57">
        <f t="shared" ref="I17:I27" si="2">H17-G17</f>
        <v>-123.63217414280552</v>
      </c>
      <c r="J17" s="126"/>
      <c r="K17" s="126"/>
      <c r="L17" s="8"/>
      <c r="M17" s="8"/>
      <c r="N17" s="236"/>
      <c r="O17" s="237"/>
      <c r="P17" s="237"/>
      <c r="Q17" s="237"/>
    </row>
    <row r="18" spans="2:17" ht="52.5" customHeight="1">
      <c r="B18" s="62" t="s">
        <v>123</v>
      </c>
      <c r="C18" s="51" t="s">
        <v>144</v>
      </c>
      <c r="D18" s="52" t="s">
        <v>145</v>
      </c>
      <c r="E18" s="41">
        <v>0.28000000000000003</v>
      </c>
      <c r="F18" s="144">
        <v>0.27</v>
      </c>
      <c r="G18" s="55">
        <f t="shared" si="0"/>
        <v>1818.9282234238665</v>
      </c>
      <c r="H18" s="56">
        <f t="shared" si="1"/>
        <v>1790.5396642497235</v>
      </c>
      <c r="I18" s="57">
        <f t="shared" si="2"/>
        <v>-28.388559174142983</v>
      </c>
      <c r="J18" s="126"/>
      <c r="K18" s="126"/>
      <c r="M18" s="6"/>
      <c r="N18" s="234"/>
      <c r="O18" s="234"/>
      <c r="P18" s="234"/>
      <c r="Q18" s="234"/>
    </row>
    <row r="19" spans="2:17" ht="25.5">
      <c r="B19" s="62" t="s">
        <v>146</v>
      </c>
      <c r="C19" s="59" t="s">
        <v>147</v>
      </c>
      <c r="D19" s="52" t="s">
        <v>145</v>
      </c>
      <c r="E19" s="41">
        <v>0</v>
      </c>
      <c r="F19" s="144">
        <v>0</v>
      </c>
      <c r="G19" s="55">
        <f t="shared" si="0"/>
        <v>0</v>
      </c>
      <c r="H19" s="56">
        <f t="shared" si="1"/>
        <v>0</v>
      </c>
      <c r="I19" s="57">
        <f t="shared" si="2"/>
        <v>0</v>
      </c>
      <c r="J19" s="126"/>
      <c r="K19" s="126"/>
      <c r="M19" s="6"/>
      <c r="N19" s="234"/>
      <c r="O19" s="234"/>
      <c r="P19" s="234"/>
      <c r="Q19" s="234"/>
    </row>
    <row r="20" spans="2:17" ht="51">
      <c r="B20" s="127" t="s">
        <v>124</v>
      </c>
      <c r="C20" s="51" t="s">
        <v>144</v>
      </c>
      <c r="D20" s="52" t="s">
        <v>145</v>
      </c>
      <c r="E20" s="41">
        <v>1.1399999999999999</v>
      </c>
      <c r="F20" s="144">
        <v>1.33</v>
      </c>
      <c r="G20" s="55">
        <f t="shared" si="0"/>
        <v>8164.3441244794012</v>
      </c>
      <c r="H20" s="56">
        <f t="shared" si="1"/>
        <v>8022.738209222618</v>
      </c>
      <c r="I20" s="57">
        <f t="shared" si="2"/>
        <v>-141.60591525678319</v>
      </c>
      <c r="J20" s="126"/>
      <c r="K20" s="126"/>
      <c r="N20" s="234"/>
      <c r="O20" s="234"/>
      <c r="P20" s="234"/>
      <c r="Q20" s="234"/>
    </row>
    <row r="21" spans="2:17" ht="145.5" customHeight="1">
      <c r="B21" s="127" t="s">
        <v>125</v>
      </c>
      <c r="C21" s="51" t="s">
        <v>148</v>
      </c>
      <c r="D21" s="52" t="s">
        <v>145</v>
      </c>
      <c r="E21" s="41">
        <v>3.17</v>
      </c>
      <c r="F21" s="144">
        <v>3.14</v>
      </c>
      <c r="G21" s="55">
        <f t="shared" si="0"/>
        <v>20866.517528013326</v>
      </c>
      <c r="H21" s="56">
        <f t="shared" si="1"/>
        <v>20535.732145043901</v>
      </c>
      <c r="I21" s="57">
        <f t="shared" si="2"/>
        <v>-330.78538296942497</v>
      </c>
      <c r="J21" s="126"/>
      <c r="K21" s="126"/>
      <c r="L21" s="8"/>
      <c r="M21" s="60"/>
      <c r="N21" s="237"/>
      <c r="O21" s="237"/>
      <c r="P21" s="237"/>
      <c r="Q21" s="237"/>
    </row>
    <row r="22" spans="2:17" ht="27.75" customHeight="1">
      <c r="B22" s="62" t="s">
        <v>149</v>
      </c>
      <c r="C22" s="51" t="s">
        <v>147</v>
      </c>
      <c r="D22" s="52" t="s">
        <v>145</v>
      </c>
      <c r="E22" s="41">
        <v>1.94</v>
      </c>
      <c r="F22" s="144">
        <v>2</v>
      </c>
      <c r="G22" s="55">
        <v>11938.5</v>
      </c>
      <c r="H22" s="40">
        <v>12167.13</v>
      </c>
      <c r="I22" s="57">
        <f t="shared" si="2"/>
        <v>228.6299999999992</v>
      </c>
      <c r="J22" s="126"/>
      <c r="K22" s="126"/>
      <c r="N22" s="234"/>
      <c r="O22" s="234"/>
      <c r="P22" s="234"/>
      <c r="Q22" s="234"/>
    </row>
    <row r="23" spans="2:17" ht="108.75" customHeight="1">
      <c r="B23" s="127" t="s">
        <v>150</v>
      </c>
      <c r="C23" s="51" t="s">
        <v>144</v>
      </c>
      <c r="D23" s="52" t="s">
        <v>145</v>
      </c>
      <c r="E23" s="41">
        <v>0.22</v>
      </c>
      <c r="F23" s="144">
        <v>0.21</v>
      </c>
      <c r="G23" s="55">
        <f t="shared" si="0"/>
        <v>1422.1110682888861</v>
      </c>
      <c r="H23" s="56">
        <f t="shared" ref="H23" si="3">($P$15/$P$16*E23)+($Q$15/$Q$16*F23)</f>
        <v>1400.0474800704601</v>
      </c>
      <c r="I23" s="57">
        <f t="shared" si="2"/>
        <v>-22.063588218426048</v>
      </c>
      <c r="J23" s="126"/>
      <c r="K23" s="126"/>
      <c r="N23" s="234"/>
      <c r="O23" s="234"/>
      <c r="P23" s="234"/>
      <c r="Q23" s="234"/>
    </row>
    <row r="24" spans="2:17" ht="48">
      <c r="B24" s="62" t="s">
        <v>151</v>
      </c>
      <c r="C24" s="51" t="s">
        <v>144</v>
      </c>
      <c r="D24" s="52" t="s">
        <v>145</v>
      </c>
      <c r="E24" s="41">
        <v>2.06</v>
      </c>
      <c r="F24" s="144">
        <v>2.5</v>
      </c>
      <c r="G24" s="55">
        <v>15162.47</v>
      </c>
      <c r="H24" s="128">
        <v>1623</v>
      </c>
      <c r="I24" s="57">
        <f t="shared" si="2"/>
        <v>-13539.47</v>
      </c>
      <c r="J24" s="126"/>
      <c r="K24" s="126"/>
      <c r="M24" s="6"/>
      <c r="N24" s="234"/>
      <c r="O24" s="234"/>
      <c r="P24" s="234"/>
      <c r="Q24" s="234"/>
    </row>
    <row r="25" spans="2:17" ht="63.75">
      <c r="B25" s="127" t="s">
        <v>152</v>
      </c>
      <c r="C25" s="59" t="s">
        <v>148</v>
      </c>
      <c r="D25" s="52" t="s">
        <v>145</v>
      </c>
      <c r="E25" s="41">
        <v>0.71</v>
      </c>
      <c r="F25" s="144">
        <v>1.18</v>
      </c>
      <c r="G25" s="55">
        <f t="shared" si="0"/>
        <v>6241.2725277811915</v>
      </c>
      <c r="H25" s="56">
        <f>($P$15/$P$16*E25)+($Q$15/$Q$16*F25)</f>
        <v>6113.4123563693956</v>
      </c>
      <c r="I25" s="57">
        <f t="shared" si="2"/>
        <v>-127.86017141179582</v>
      </c>
      <c r="J25" s="126"/>
      <c r="K25" s="126"/>
      <c r="L25" s="145"/>
      <c r="M25" s="6"/>
      <c r="N25" s="234"/>
      <c r="O25" s="234"/>
      <c r="P25" s="234"/>
      <c r="Q25" s="234"/>
    </row>
    <row r="26" spans="2:17" ht="63.75">
      <c r="B26" s="127" t="s">
        <v>126</v>
      </c>
      <c r="C26" s="59" t="s">
        <v>148</v>
      </c>
      <c r="D26" s="52" t="s">
        <v>145</v>
      </c>
      <c r="E26" s="41">
        <v>0.22</v>
      </c>
      <c r="F26" s="144">
        <v>0.83</v>
      </c>
      <c r="G26" s="55">
        <f t="shared" si="0"/>
        <v>3460.9914350634276</v>
      </c>
      <c r="H26" s="56">
        <f t="shared" ref="H26:H27" si="4">($P$15/$P$16*E26)+($Q$15/$Q$16*F26)</f>
        <v>3368.9935857878277</v>
      </c>
      <c r="I26" s="57">
        <f t="shared" si="2"/>
        <v>-91.997849275599947</v>
      </c>
      <c r="J26" s="126"/>
      <c r="K26" s="126"/>
      <c r="L26" s="64"/>
      <c r="M26" s="6"/>
      <c r="N26" s="238"/>
      <c r="O26" s="238"/>
      <c r="P26" s="234"/>
      <c r="Q26" s="234"/>
    </row>
    <row r="27" spans="2:17">
      <c r="B27" s="62" t="s">
        <v>127</v>
      </c>
      <c r="C27" s="129" t="s">
        <v>148</v>
      </c>
      <c r="D27" s="52" t="s">
        <v>145</v>
      </c>
      <c r="E27" s="41">
        <v>0.02</v>
      </c>
      <c r="F27" s="144">
        <v>0.09</v>
      </c>
      <c r="G27" s="55">
        <f t="shared" si="0"/>
        <v>362.4685554872803</v>
      </c>
      <c r="H27" s="56">
        <f t="shared" si="4"/>
        <v>352.46442816762936</v>
      </c>
      <c r="I27" s="57">
        <f t="shared" si="2"/>
        <v>-10.004127319650934</v>
      </c>
      <c r="J27" s="126"/>
      <c r="K27" s="126"/>
      <c r="N27" s="234"/>
      <c r="O27" s="234"/>
      <c r="P27" s="234"/>
      <c r="Q27" s="234"/>
    </row>
    <row r="28" spans="2:17" ht="16.5" thickBot="1">
      <c r="B28" s="33" t="s">
        <v>128</v>
      </c>
      <c r="C28" s="130"/>
      <c r="D28" s="130"/>
      <c r="E28" s="34">
        <f>SUM(E16:E27)</f>
        <v>11.9</v>
      </c>
      <c r="F28" s="131">
        <f>SUM(F16:F27)</f>
        <v>13.770000000000001</v>
      </c>
      <c r="G28" s="132">
        <f>SUM(G16:G27)</f>
        <v>83853.829999999987</v>
      </c>
      <c r="H28" s="133">
        <f>SUM(H16:H27)</f>
        <v>69555.67</v>
      </c>
      <c r="I28" s="134">
        <f>H28-G28</f>
        <v>-14298.159999999989</v>
      </c>
      <c r="J28" s="135"/>
      <c r="K28" s="135"/>
      <c r="N28" s="234"/>
      <c r="O28" s="234"/>
      <c r="P28" s="234"/>
      <c r="Q28" s="234"/>
    </row>
    <row r="29" spans="2:17">
      <c r="B29" s="6"/>
      <c r="C29" s="6"/>
      <c r="D29" s="6"/>
      <c r="E29" s="29"/>
      <c r="F29" s="29"/>
      <c r="G29" s="29"/>
      <c r="H29" s="29"/>
      <c r="I29" s="2"/>
      <c r="J29" s="2"/>
      <c r="K29" s="2"/>
      <c r="N29" s="234"/>
      <c r="O29" s="234"/>
      <c r="P29" s="234"/>
      <c r="Q29" s="234"/>
    </row>
    <row r="30" spans="2:17" ht="16.5" thickBot="1">
      <c r="B30" s="207" t="s">
        <v>153</v>
      </c>
      <c r="C30" s="207"/>
      <c r="D30" s="207"/>
      <c r="E30" s="207"/>
      <c r="F30" s="207"/>
      <c r="G30" s="207"/>
      <c r="H30" s="207"/>
      <c r="I30" s="207"/>
      <c r="J30" s="141"/>
      <c r="K30" s="141"/>
      <c r="N30" s="234"/>
      <c r="O30" s="234"/>
      <c r="P30" s="234"/>
      <c r="Q30" s="234"/>
    </row>
    <row r="31" spans="2:17" ht="44.25" customHeight="1">
      <c r="B31" s="20"/>
      <c r="C31" s="65"/>
      <c r="D31" s="208" t="s">
        <v>154</v>
      </c>
      <c r="E31" s="209"/>
      <c r="F31" s="210" t="s">
        <v>10</v>
      </c>
      <c r="G31" s="211"/>
      <c r="H31" s="210" t="s">
        <v>11</v>
      </c>
      <c r="I31" s="212"/>
      <c r="J31" s="145"/>
      <c r="K31" s="145"/>
      <c r="L31" s="24"/>
      <c r="M31" s="9"/>
      <c r="N31" s="238"/>
      <c r="O31" s="238"/>
      <c r="P31" s="238"/>
      <c r="Q31" s="238"/>
    </row>
    <row r="32" spans="2:17">
      <c r="B32" s="21" t="s">
        <v>12</v>
      </c>
      <c r="C32" s="67"/>
      <c r="D32" s="203">
        <f>F32+H32</f>
        <v>83853.83</v>
      </c>
      <c r="E32" s="204"/>
      <c r="F32" s="203">
        <f>26268.31+30484.55+11938.5</f>
        <v>68691.360000000001</v>
      </c>
      <c r="G32" s="204"/>
      <c r="H32" s="203">
        <f>G24</f>
        <v>15162.47</v>
      </c>
      <c r="I32" s="213"/>
      <c r="J32" s="146"/>
      <c r="K32" s="146"/>
      <c r="L32" s="10"/>
      <c r="M32" s="10"/>
      <c r="N32" s="234"/>
      <c r="O32" s="234"/>
      <c r="P32" s="234"/>
      <c r="Q32" s="234"/>
    </row>
    <row r="33" spans="2:17">
      <c r="B33" s="21" t="s">
        <v>13</v>
      </c>
      <c r="C33" s="67"/>
      <c r="D33" s="203">
        <f>F33+H33</f>
        <v>64541.06</v>
      </c>
      <c r="E33" s="204"/>
      <c r="F33" s="203">
        <f>20618.45+23927.84+8093.49</f>
        <v>52639.78</v>
      </c>
      <c r="G33" s="204"/>
      <c r="H33" s="203">
        <v>11901.28</v>
      </c>
      <c r="I33" s="213"/>
      <c r="J33" s="146"/>
      <c r="K33" s="146"/>
      <c r="L33" s="25"/>
      <c r="M33" s="10"/>
      <c r="N33" s="234"/>
      <c r="O33" s="234"/>
      <c r="P33" s="234"/>
      <c r="Q33" s="234"/>
    </row>
    <row r="34" spans="2:17" ht="16.5" thickBot="1">
      <c r="B34" s="22" t="s">
        <v>114</v>
      </c>
      <c r="C34" s="69"/>
      <c r="D34" s="205">
        <f>F34+H34</f>
        <v>69555.67</v>
      </c>
      <c r="E34" s="206"/>
      <c r="F34" s="205">
        <f>H16+H17+H18+H19+H20+H21+H22+H23+H25+H26+H27</f>
        <v>67932.67</v>
      </c>
      <c r="G34" s="206"/>
      <c r="H34" s="205">
        <f>H24</f>
        <v>1623</v>
      </c>
      <c r="I34" s="214"/>
      <c r="J34" s="146"/>
      <c r="K34" s="146"/>
      <c r="L34" s="10"/>
      <c r="M34" s="10"/>
      <c r="N34" s="234"/>
      <c r="O34" s="234"/>
      <c r="P34" s="234"/>
      <c r="Q34" s="234"/>
    </row>
    <row r="35" spans="2:17" ht="27" thickBot="1">
      <c r="B35" s="23" t="s">
        <v>115</v>
      </c>
      <c r="C35" s="72"/>
      <c r="D35" s="184">
        <f>F35+H35</f>
        <v>-5014.6099999999988</v>
      </c>
      <c r="E35" s="185"/>
      <c r="F35" s="182">
        <f>F33-F34</f>
        <v>-15292.89</v>
      </c>
      <c r="G35" s="183"/>
      <c r="H35" s="182">
        <f>H33-H34</f>
        <v>10278.280000000001</v>
      </c>
      <c r="I35" s="202"/>
      <c r="J35" s="146"/>
      <c r="K35" s="146"/>
      <c r="L35" s="10"/>
      <c r="M35" s="10"/>
      <c r="N35" s="234"/>
      <c r="O35" s="234"/>
      <c r="P35" s="234"/>
      <c r="Q35" s="234"/>
    </row>
    <row r="36" spans="2:17" ht="34.5" customHeight="1">
      <c r="B36" s="139" t="s">
        <v>116</v>
      </c>
      <c r="C36" s="139"/>
      <c r="D36" s="136"/>
      <c r="E36" s="180" t="s">
        <v>117</v>
      </c>
      <c r="F36" s="180"/>
      <c r="G36" s="178" t="s">
        <v>14</v>
      </c>
      <c r="H36" s="178"/>
      <c r="I36" s="139"/>
      <c r="J36" s="139"/>
      <c r="K36" s="139"/>
      <c r="L36" s="8"/>
      <c r="M36" s="8"/>
      <c r="N36" s="237"/>
      <c r="O36" s="237"/>
      <c r="P36" s="237"/>
      <c r="Q36" s="237"/>
    </row>
    <row r="37" spans="2:17" ht="11.25" customHeight="1">
      <c r="B37" s="139"/>
      <c r="C37" s="139"/>
      <c r="D37" s="139"/>
      <c r="E37" s="179" t="s">
        <v>15</v>
      </c>
      <c r="F37" s="179"/>
      <c r="G37" s="181"/>
      <c r="H37" s="181"/>
      <c r="I37" s="140"/>
      <c r="J37" s="140"/>
      <c r="K37" s="140"/>
      <c r="L37" s="8"/>
      <c r="M37" s="8"/>
      <c r="N37" s="237"/>
      <c r="O37" s="237"/>
      <c r="P37" s="237"/>
      <c r="Q37" s="237"/>
    </row>
    <row r="38" spans="2:17">
      <c r="B38" s="139" t="s">
        <v>118</v>
      </c>
      <c r="C38" s="139"/>
      <c r="D38" s="139"/>
      <c r="E38" s="177" t="s">
        <v>117</v>
      </c>
      <c r="F38" s="177"/>
      <c r="G38" s="178" t="s">
        <v>131</v>
      </c>
      <c r="H38" s="178"/>
      <c r="I38" s="139"/>
      <c r="J38" s="139"/>
      <c r="K38" s="139"/>
      <c r="L38" s="8"/>
      <c r="M38" s="8"/>
      <c r="N38" s="237"/>
      <c r="O38" s="237"/>
      <c r="P38" s="237"/>
      <c r="Q38" s="237"/>
    </row>
    <row r="39" spans="2:17" ht="9.75" customHeight="1">
      <c r="B39" s="139"/>
      <c r="C39" s="139"/>
      <c r="D39" s="139"/>
      <c r="E39" s="179" t="s">
        <v>15</v>
      </c>
      <c r="F39" s="179"/>
      <c r="G39" s="178"/>
      <c r="H39" s="178"/>
      <c r="I39" s="139"/>
      <c r="J39" s="139"/>
      <c r="K39" s="139"/>
      <c r="N39" s="234"/>
      <c r="O39" s="234"/>
      <c r="P39" s="234"/>
      <c r="Q39" s="234"/>
    </row>
    <row r="40" spans="2:17">
      <c r="B40" s="139" t="s">
        <v>119</v>
      </c>
      <c r="C40" s="139"/>
      <c r="D40" s="139"/>
      <c r="E40" s="177" t="s">
        <v>117</v>
      </c>
      <c r="F40" s="177"/>
      <c r="G40" s="178" t="s">
        <v>157</v>
      </c>
      <c r="H40" s="178"/>
      <c r="I40" s="139"/>
      <c r="J40" s="139"/>
      <c r="K40" s="139"/>
      <c r="N40" s="234"/>
      <c r="O40" s="234"/>
      <c r="P40" s="234"/>
      <c r="Q40" s="234"/>
    </row>
    <row r="41" spans="2:17" ht="8.25" customHeight="1">
      <c r="B41" s="27"/>
      <c r="C41" s="27"/>
      <c r="D41" s="27"/>
      <c r="E41" s="179" t="s">
        <v>15</v>
      </c>
      <c r="F41" s="179"/>
      <c r="G41" s="143"/>
      <c r="H41" s="137"/>
      <c r="I41" s="142"/>
      <c r="J41" s="142"/>
      <c r="K41" s="142"/>
      <c r="N41" s="234"/>
      <c r="O41" s="234"/>
      <c r="P41" s="234"/>
      <c r="Q41" s="234"/>
    </row>
    <row r="42" spans="2:17">
      <c r="B42" s="139" t="s">
        <v>120</v>
      </c>
      <c r="C42" s="139"/>
      <c r="D42" s="139"/>
      <c r="E42" s="177" t="s">
        <v>117</v>
      </c>
      <c r="F42" s="177"/>
      <c r="G42" s="178" t="s">
        <v>93</v>
      </c>
      <c r="H42" s="178"/>
    </row>
    <row r="43" spans="2:17" ht="9" customHeight="1">
      <c r="B43" s="138"/>
      <c r="C43" s="138"/>
      <c r="D43" s="138"/>
      <c r="E43" s="179" t="s">
        <v>15</v>
      </c>
      <c r="F43" s="179"/>
      <c r="G43" s="179"/>
      <c r="H43" s="179"/>
    </row>
  </sheetData>
  <mergeCells count="42">
    <mergeCell ref="B30:I30"/>
    <mergeCell ref="D31:E31"/>
    <mergeCell ref="F31:G31"/>
    <mergeCell ref="H31:I31"/>
    <mergeCell ref="D32:E32"/>
    <mergeCell ref="F32:G32"/>
    <mergeCell ref="H32:I32"/>
    <mergeCell ref="B2:I3"/>
    <mergeCell ref="B13:I13"/>
    <mergeCell ref="B14:B15"/>
    <mergeCell ref="C14:C15"/>
    <mergeCell ref="D14:D15"/>
    <mergeCell ref="E14:E15"/>
    <mergeCell ref="F14:F15"/>
    <mergeCell ref="G14:H14"/>
    <mergeCell ref="I14:I15"/>
    <mergeCell ref="D5:F5"/>
    <mergeCell ref="D12:E12"/>
    <mergeCell ref="D33:E33"/>
    <mergeCell ref="F33:G33"/>
    <mergeCell ref="H33:I33"/>
    <mergeCell ref="D34:E34"/>
    <mergeCell ref="F34:G34"/>
    <mergeCell ref="H34:I34"/>
    <mergeCell ref="H35:I35"/>
    <mergeCell ref="E36:F36"/>
    <mergeCell ref="G36:H36"/>
    <mergeCell ref="E37:F37"/>
    <mergeCell ref="G37:H37"/>
    <mergeCell ref="D35:E35"/>
    <mergeCell ref="F35:G35"/>
    <mergeCell ref="G42:H42"/>
    <mergeCell ref="E43:F43"/>
    <mergeCell ref="G43:H43"/>
    <mergeCell ref="G38:H38"/>
    <mergeCell ref="E39:F39"/>
    <mergeCell ref="G39:H39"/>
    <mergeCell ref="E40:F40"/>
    <mergeCell ref="G40:H40"/>
    <mergeCell ref="E38:F38"/>
    <mergeCell ref="E41:F41"/>
    <mergeCell ref="E42:F42"/>
  </mergeCells>
  <printOptions horizontalCentered="1"/>
  <pageMargins left="0.19685039370078741" right="0.19685039370078741" top="0.15748031496062992" bottom="0.23622047244094491" header="0.31496062992125984" footer="0.31496062992125984"/>
  <pageSetup paperSize="9" scale="43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43"/>
  <sheetViews>
    <sheetView zoomScale="110" zoomScaleNormal="110" workbookViewId="0">
      <selection activeCell="B1" sqref="B1:I1"/>
    </sheetView>
  </sheetViews>
  <sheetFormatPr defaultColWidth="9.140625" defaultRowHeight="15.75" outlineLevelRow="1"/>
  <cols>
    <col min="1" max="1" width="2.85546875" style="1" customWidth="1"/>
    <col min="2" max="2" width="52" style="1" customWidth="1"/>
    <col min="3" max="3" width="11.85546875" style="35" customWidth="1"/>
    <col min="4" max="4" width="9.5703125" style="2" customWidth="1"/>
    <col min="5" max="5" width="10.5703125" style="2" customWidth="1"/>
    <col min="6" max="6" width="10.28515625" style="2" customWidth="1"/>
    <col min="7" max="7" width="11" style="1" customWidth="1"/>
    <col min="8" max="8" width="11.28515625" style="1" customWidth="1"/>
    <col min="9" max="9" width="11" style="1" customWidth="1"/>
    <col min="10" max="10" width="10.7109375" style="1" bestFit="1" customWidth="1"/>
    <col min="11" max="13" width="9.140625" style="1"/>
    <col min="14" max="14" width="11.85546875" style="232" customWidth="1"/>
    <col min="15" max="15" width="12" style="232" customWidth="1"/>
    <col min="16" max="16" width="12.140625" style="232" customWidth="1"/>
    <col min="17" max="17" width="13.7109375" style="232" customWidth="1"/>
    <col min="18" max="19" width="9.140625" style="232"/>
    <col min="20" max="16384" width="9.140625" style="1"/>
  </cols>
  <sheetData>
    <row r="1" spans="1:18">
      <c r="B1" s="137"/>
      <c r="C1" s="137"/>
      <c r="D1" s="137"/>
      <c r="E1" s="137"/>
      <c r="F1" s="137"/>
      <c r="G1" s="137"/>
      <c r="H1" s="137"/>
      <c r="I1" s="137"/>
    </row>
    <row r="2" spans="1:18" ht="19.5" customHeight="1">
      <c r="A2" s="18"/>
      <c r="B2" s="186" t="s">
        <v>161</v>
      </c>
      <c r="C2" s="186"/>
      <c r="D2" s="186"/>
      <c r="E2" s="186"/>
      <c r="F2" s="186"/>
      <c r="G2" s="186"/>
      <c r="H2" s="186"/>
      <c r="I2" s="186"/>
    </row>
    <row r="3" spans="1:18" ht="20.25" customHeight="1">
      <c r="A3" s="18"/>
      <c r="B3" s="186"/>
      <c r="C3" s="186"/>
      <c r="D3" s="186"/>
      <c r="E3" s="186"/>
      <c r="F3" s="186"/>
      <c r="G3" s="186"/>
      <c r="H3" s="186"/>
      <c r="I3" s="186"/>
    </row>
    <row r="4" spans="1:18" ht="15" customHeight="1"/>
    <row r="5" spans="1:18">
      <c r="B5" s="1" t="s">
        <v>0</v>
      </c>
      <c r="D5" s="200" t="s">
        <v>37</v>
      </c>
      <c r="E5" s="200"/>
      <c r="F5" s="200"/>
    </row>
    <row r="6" spans="1:18">
      <c r="B6" s="1" t="s">
        <v>1</v>
      </c>
      <c r="D6" s="11">
        <v>1960</v>
      </c>
      <c r="E6" s="11"/>
      <c r="F6" s="11"/>
    </row>
    <row r="7" spans="1:18" hidden="1" outlineLevel="1">
      <c r="B7" s="1" t="s">
        <v>2</v>
      </c>
      <c r="D7" s="11">
        <v>2</v>
      </c>
      <c r="E7" s="11"/>
      <c r="F7" s="11"/>
    </row>
    <row r="8" spans="1:18" hidden="1" outlineLevel="1">
      <c r="B8" s="1" t="s">
        <v>3</v>
      </c>
      <c r="D8" s="11">
        <v>16</v>
      </c>
      <c r="E8" s="11"/>
      <c r="F8" s="11"/>
    </row>
    <row r="9" spans="1:18" ht="30.75" hidden="1" customHeight="1" outlineLevel="1">
      <c r="B9" s="4" t="s">
        <v>4</v>
      </c>
      <c r="C9" s="36"/>
      <c r="D9" s="11" t="s">
        <v>38</v>
      </c>
      <c r="E9" s="11"/>
      <c r="F9" s="11"/>
    </row>
    <row r="10" spans="1:18" collapsed="1">
      <c r="B10" s="1" t="s">
        <v>5</v>
      </c>
      <c r="D10" s="16" t="s">
        <v>104</v>
      </c>
      <c r="E10" s="11"/>
      <c r="F10" s="11"/>
      <c r="J10" s="6"/>
    </row>
    <row r="11" spans="1:18" ht="17.25" hidden="1" customHeight="1" outlineLevel="1">
      <c r="B11" s="1" t="s">
        <v>6</v>
      </c>
      <c r="D11" s="11" t="s">
        <v>7</v>
      </c>
      <c r="E11" s="11"/>
      <c r="F11" s="11"/>
    </row>
    <row r="12" spans="1:18" ht="30.75" hidden="1" customHeight="1" outlineLevel="1">
      <c r="B12" s="4" t="s">
        <v>8</v>
      </c>
      <c r="C12" s="36"/>
      <c r="D12" s="201" t="s">
        <v>39</v>
      </c>
      <c r="E12" s="201"/>
      <c r="F12" s="11"/>
      <c r="J12" s="6"/>
    </row>
    <row r="13" spans="1:18" ht="31.5" customHeight="1" collapsed="1" thickBot="1">
      <c r="B13" s="187" t="s">
        <v>132</v>
      </c>
      <c r="C13" s="187"/>
      <c r="D13" s="187"/>
      <c r="E13" s="187"/>
      <c r="F13" s="187"/>
      <c r="G13" s="187"/>
      <c r="H13" s="187"/>
      <c r="I13" s="187"/>
      <c r="J13" s="124"/>
      <c r="K13" s="124"/>
      <c r="M13" s="6"/>
      <c r="N13" s="233" t="s">
        <v>133</v>
      </c>
      <c r="O13" s="233" t="s">
        <v>134</v>
      </c>
      <c r="P13" s="233" t="s">
        <v>135</v>
      </c>
      <c r="Q13" s="233" t="s">
        <v>136</v>
      </c>
    </row>
    <row r="14" spans="1:18" ht="27.75" customHeight="1">
      <c r="B14" s="188" t="s">
        <v>137</v>
      </c>
      <c r="C14" s="190" t="s">
        <v>138</v>
      </c>
      <c r="D14" s="190" t="s">
        <v>139</v>
      </c>
      <c r="E14" s="192" t="s">
        <v>140</v>
      </c>
      <c r="F14" s="194" t="s">
        <v>141</v>
      </c>
      <c r="G14" s="196" t="s">
        <v>142</v>
      </c>
      <c r="H14" s="197"/>
      <c r="I14" s="198" t="s">
        <v>163</v>
      </c>
      <c r="J14" s="125"/>
      <c r="K14" s="125"/>
      <c r="M14" s="6"/>
      <c r="N14" s="233"/>
      <c r="O14" s="233"/>
      <c r="P14" s="233"/>
      <c r="Q14" s="233"/>
    </row>
    <row r="15" spans="1:18" ht="45" customHeight="1" thickBot="1">
      <c r="B15" s="189"/>
      <c r="C15" s="191"/>
      <c r="D15" s="191"/>
      <c r="E15" s="193"/>
      <c r="F15" s="195"/>
      <c r="G15" s="48" t="s">
        <v>121</v>
      </c>
      <c r="H15" s="49" t="s">
        <v>122</v>
      </c>
      <c r="I15" s="199"/>
      <c r="J15" s="125"/>
      <c r="K15" s="125"/>
      <c r="N15" s="234">
        <v>24800.63</v>
      </c>
      <c r="O15" s="234">
        <v>27859.26</v>
      </c>
      <c r="P15" s="234">
        <f>25793.8*0.96</f>
        <v>24762.047999999999</v>
      </c>
      <c r="Q15" s="234">
        <f>28843.1*0.96</f>
        <v>27689.375999999997</v>
      </c>
      <c r="R15" s="232">
        <f>(N15+O15)/(P15+Q15)*100</f>
        <v>100.39744583483568</v>
      </c>
    </row>
    <row r="16" spans="1:18" ht="50.25" customHeight="1">
      <c r="B16" s="110" t="s">
        <v>143</v>
      </c>
      <c r="C16" s="51" t="s">
        <v>144</v>
      </c>
      <c r="D16" s="52" t="s">
        <v>145</v>
      </c>
      <c r="E16" s="53">
        <v>1.01</v>
      </c>
      <c r="F16" s="54">
        <v>1.05</v>
      </c>
      <c r="G16" s="55">
        <f>($N$15/$N$16*E16)+($O$15/$O$16*F16)</f>
        <v>6505.134856029691</v>
      </c>
      <c r="H16" s="56">
        <f>($P$15/$P$16*E16)+($Q$15/$Q$16*F16)</f>
        <v>6480.0350965879315</v>
      </c>
      <c r="I16" s="57">
        <f>H16-G16</f>
        <v>-25.099759441759488</v>
      </c>
      <c r="J16" s="126"/>
      <c r="K16" s="126"/>
      <c r="L16" s="7"/>
      <c r="M16" s="58"/>
      <c r="N16" s="235">
        <v>7.81</v>
      </c>
      <c r="O16" s="234">
        <v>8.8699999999999992</v>
      </c>
      <c r="P16" s="235">
        <v>7.81</v>
      </c>
      <c r="Q16" s="234">
        <v>8.8699999999999992</v>
      </c>
    </row>
    <row r="17" spans="2:17" ht="51">
      <c r="B17" s="127" t="s">
        <v>129</v>
      </c>
      <c r="C17" s="51" t="s">
        <v>144</v>
      </c>
      <c r="D17" s="52" t="s">
        <v>145</v>
      </c>
      <c r="E17" s="41">
        <v>1.1299999999999999</v>
      </c>
      <c r="F17" s="153">
        <v>1.17</v>
      </c>
      <c r="G17" s="55">
        <f t="shared" ref="G17:G27" si="0">($N$15/$N$16*E17)+($O$15/$O$16*F17)</f>
        <v>7263.0953963712582</v>
      </c>
      <c r="H17" s="56">
        <f t="shared" ref="H17:H21" si="1">($P$15/$P$16*E17)+($Q$15/$Q$16*F17)</f>
        <v>7235.1045097849565</v>
      </c>
      <c r="I17" s="57">
        <f t="shared" ref="I17:I27" si="2">H17-G17</f>
        <v>-27.990886586301713</v>
      </c>
      <c r="J17" s="126"/>
      <c r="K17" s="126"/>
      <c r="L17" s="8"/>
      <c r="M17" s="8"/>
      <c r="N17" s="236"/>
      <c r="O17" s="237"/>
      <c r="P17" s="237"/>
      <c r="Q17" s="237"/>
    </row>
    <row r="18" spans="2:17" ht="52.5" customHeight="1">
      <c r="B18" s="62" t="s">
        <v>123</v>
      </c>
      <c r="C18" s="51" t="s">
        <v>144</v>
      </c>
      <c r="D18" s="52" t="s">
        <v>145</v>
      </c>
      <c r="E18" s="41">
        <v>0.28000000000000003</v>
      </c>
      <c r="F18" s="153">
        <v>0.27</v>
      </c>
      <c r="G18" s="55">
        <f t="shared" si="0"/>
        <v>1737.1661837582842</v>
      </c>
      <c r="H18" s="56">
        <f t="shared" si="1"/>
        <v>1730.6117469148189</v>
      </c>
      <c r="I18" s="57">
        <f t="shared" si="2"/>
        <v>-6.5544368434652824</v>
      </c>
      <c r="J18" s="126"/>
      <c r="K18" s="126"/>
      <c r="M18" s="6"/>
      <c r="N18" s="234"/>
      <c r="O18" s="234"/>
      <c r="P18" s="234"/>
      <c r="Q18" s="234"/>
    </row>
    <row r="19" spans="2:17" ht="25.5">
      <c r="B19" s="62" t="s">
        <v>146</v>
      </c>
      <c r="C19" s="59" t="s">
        <v>147</v>
      </c>
      <c r="D19" s="52" t="s">
        <v>145</v>
      </c>
      <c r="E19" s="41">
        <v>0</v>
      </c>
      <c r="F19" s="153">
        <v>0</v>
      </c>
      <c r="G19" s="55">
        <f t="shared" si="0"/>
        <v>0</v>
      </c>
      <c r="H19" s="56">
        <f t="shared" si="1"/>
        <v>0</v>
      </c>
      <c r="I19" s="57">
        <f t="shared" si="2"/>
        <v>0</v>
      </c>
      <c r="J19" s="126"/>
      <c r="K19" s="126"/>
      <c r="M19" s="6"/>
      <c r="N19" s="234"/>
      <c r="O19" s="234"/>
      <c r="P19" s="234"/>
      <c r="Q19" s="234"/>
    </row>
    <row r="20" spans="2:17" ht="51">
      <c r="B20" s="127" t="s">
        <v>124</v>
      </c>
      <c r="C20" s="51" t="s">
        <v>144</v>
      </c>
      <c r="D20" s="52" t="s">
        <v>145</v>
      </c>
      <c r="E20" s="41">
        <v>1.1399999999999999</v>
      </c>
      <c r="F20" s="153">
        <v>1.33</v>
      </c>
      <c r="G20" s="55">
        <f t="shared" si="0"/>
        <v>7797.3849303136649</v>
      </c>
      <c r="H20" s="56">
        <f t="shared" si="1"/>
        <v>7766.2802190583279</v>
      </c>
      <c r="I20" s="57">
        <f t="shared" si="2"/>
        <v>-31.104711255336952</v>
      </c>
      <c r="J20" s="126"/>
      <c r="K20" s="126"/>
      <c r="N20" s="234"/>
      <c r="O20" s="234"/>
      <c r="P20" s="234"/>
      <c r="Q20" s="234"/>
    </row>
    <row r="21" spans="2:17" ht="145.5" customHeight="1">
      <c r="B21" s="127" t="s">
        <v>125</v>
      </c>
      <c r="C21" s="51" t="s">
        <v>148</v>
      </c>
      <c r="D21" s="52" t="s">
        <v>145</v>
      </c>
      <c r="E21" s="41">
        <f>3.67-0.7</f>
        <v>2.9699999999999998</v>
      </c>
      <c r="F21" s="153">
        <v>2.71</v>
      </c>
      <c r="G21" s="55">
        <f t="shared" si="0"/>
        <v>17942.904703780747</v>
      </c>
      <c r="H21" s="56">
        <f t="shared" si="1"/>
        <v>17876.328995792112</v>
      </c>
      <c r="I21" s="57">
        <f t="shared" si="2"/>
        <v>-66.575707988635259</v>
      </c>
      <c r="J21" s="126"/>
      <c r="K21" s="126"/>
      <c r="L21" s="8"/>
      <c r="M21" s="60"/>
      <c r="N21" s="237"/>
      <c r="O21" s="237"/>
      <c r="P21" s="237"/>
      <c r="Q21" s="237"/>
    </row>
    <row r="22" spans="2:17" ht="27.75" customHeight="1">
      <c r="B22" s="62" t="s">
        <v>149</v>
      </c>
      <c r="C22" s="51" t="s">
        <v>147</v>
      </c>
      <c r="D22" s="52" t="s">
        <v>145</v>
      </c>
      <c r="E22" s="41">
        <v>1.94</v>
      </c>
      <c r="F22" s="153">
        <v>2</v>
      </c>
      <c r="G22" s="55">
        <v>11742</v>
      </c>
      <c r="H22" s="40">
        <v>11920.88</v>
      </c>
      <c r="I22" s="57">
        <f t="shared" si="2"/>
        <v>178.8799999999992</v>
      </c>
      <c r="J22" s="126"/>
      <c r="K22" s="126"/>
      <c r="N22" s="234"/>
      <c r="O22" s="234"/>
      <c r="P22" s="234"/>
      <c r="Q22" s="234"/>
    </row>
    <row r="23" spans="2:17" ht="108.75" customHeight="1">
      <c r="B23" s="127" t="s">
        <v>150</v>
      </c>
      <c r="C23" s="51" t="s">
        <v>144</v>
      </c>
      <c r="D23" s="52" t="s">
        <v>145</v>
      </c>
      <c r="E23" s="41">
        <v>0.22</v>
      </c>
      <c r="F23" s="153">
        <v>0.21</v>
      </c>
      <c r="G23" s="55">
        <f t="shared" si="0"/>
        <v>1358.1859135875002</v>
      </c>
      <c r="H23" s="56">
        <f t="shared" ref="H23" si="3">($P$15/$P$16*E23)+($Q$15/$Q$16*F23)</f>
        <v>1353.0770403163058</v>
      </c>
      <c r="I23" s="57">
        <f t="shared" si="2"/>
        <v>-5.1088732711943976</v>
      </c>
      <c r="J23" s="126"/>
      <c r="K23" s="126"/>
      <c r="N23" s="234"/>
      <c r="O23" s="234"/>
      <c r="P23" s="234"/>
      <c r="Q23" s="234"/>
    </row>
    <row r="24" spans="2:17" ht="48">
      <c r="B24" s="62" t="s">
        <v>151</v>
      </c>
      <c r="C24" s="51" t="s">
        <v>144</v>
      </c>
      <c r="D24" s="52" t="s">
        <v>145</v>
      </c>
      <c r="E24" s="41">
        <v>4.29</v>
      </c>
      <c r="F24" s="153">
        <v>4.29</v>
      </c>
      <c r="G24" s="55">
        <v>27245.759999999998</v>
      </c>
      <c r="H24" s="128">
        <v>102306</v>
      </c>
      <c r="I24" s="57">
        <f t="shared" si="2"/>
        <v>75060.240000000005</v>
      </c>
      <c r="J24" s="126"/>
      <c r="K24" s="126"/>
      <c r="M24" s="6"/>
      <c r="N24" s="234"/>
      <c r="O24" s="234"/>
      <c r="P24" s="234"/>
      <c r="Q24" s="234"/>
    </row>
    <row r="25" spans="2:17" ht="63.75">
      <c r="B25" s="127" t="s">
        <v>152</v>
      </c>
      <c r="C25" s="59" t="s">
        <v>148</v>
      </c>
      <c r="D25" s="52" t="s">
        <v>145</v>
      </c>
      <c r="E25" s="41">
        <f>0.71-0.09</f>
        <v>0.62</v>
      </c>
      <c r="F25" s="153">
        <v>1.21</v>
      </c>
      <c r="G25" s="55">
        <f t="shared" si="0"/>
        <v>5769.2256703818284</v>
      </c>
      <c r="H25" s="56">
        <f>($P$15/$P$16*E25)+($Q$15/$Q$16*F25)</f>
        <v>5742.9881170008666</v>
      </c>
      <c r="I25" s="57">
        <f t="shared" si="2"/>
        <v>-26.237553380961799</v>
      </c>
      <c r="J25" s="126"/>
      <c r="K25" s="126"/>
      <c r="L25" s="154"/>
      <c r="M25" s="6"/>
      <c r="N25" s="234"/>
      <c r="O25" s="234"/>
      <c r="P25" s="234"/>
      <c r="Q25" s="234"/>
    </row>
    <row r="26" spans="2:17" ht="63.75">
      <c r="B26" s="127" t="s">
        <v>126</v>
      </c>
      <c r="C26" s="59" t="s">
        <v>148</v>
      </c>
      <c r="D26" s="52" t="s">
        <v>145</v>
      </c>
      <c r="E26" s="41">
        <v>0.25</v>
      </c>
      <c r="F26" s="153">
        <v>0.83</v>
      </c>
      <c r="G26" s="55">
        <f t="shared" si="0"/>
        <v>3400.7722606232865</v>
      </c>
      <c r="H26" s="56">
        <f t="shared" ref="H26:H27" si="4">($P$15/$P$16*E26)+($Q$15/$Q$16*F26)</f>
        <v>3383.6405424317963</v>
      </c>
      <c r="I26" s="57">
        <f t="shared" si="2"/>
        <v>-17.131718191490108</v>
      </c>
      <c r="J26" s="126"/>
      <c r="K26" s="126"/>
      <c r="L26" s="64"/>
      <c r="M26" s="6"/>
      <c r="N26" s="238"/>
      <c r="O26" s="238"/>
      <c r="P26" s="234"/>
      <c r="Q26" s="234"/>
    </row>
    <row r="27" spans="2:17">
      <c r="B27" s="62" t="s">
        <v>127</v>
      </c>
      <c r="C27" s="129" t="s">
        <v>148</v>
      </c>
      <c r="D27" s="52" t="s">
        <v>145</v>
      </c>
      <c r="E27" s="41">
        <v>0.19</v>
      </c>
      <c r="F27" s="153">
        <v>0.09</v>
      </c>
      <c r="G27" s="55">
        <f t="shared" si="0"/>
        <v>886.02008515374314</v>
      </c>
      <c r="H27" s="56">
        <f t="shared" si="4"/>
        <v>883.35773211287813</v>
      </c>
      <c r="I27" s="57">
        <f t="shared" si="2"/>
        <v>-2.662353040865014</v>
      </c>
      <c r="J27" s="126"/>
      <c r="K27" s="126"/>
      <c r="N27" s="234"/>
      <c r="O27" s="234"/>
      <c r="P27" s="234"/>
      <c r="Q27" s="234"/>
    </row>
    <row r="28" spans="2:17" ht="16.5" thickBot="1">
      <c r="B28" s="33" t="s">
        <v>128</v>
      </c>
      <c r="C28" s="130"/>
      <c r="D28" s="130"/>
      <c r="E28" s="34">
        <f>SUM(E16:E27)</f>
        <v>14.04</v>
      </c>
      <c r="F28" s="131">
        <f>SUM(F16:F27)</f>
        <v>15.160000000000002</v>
      </c>
      <c r="G28" s="132">
        <f>SUM(G16:G27)</f>
        <v>91647.65</v>
      </c>
      <c r="H28" s="133">
        <f>SUM(H16:H27)</f>
        <v>166678.30399999997</v>
      </c>
      <c r="I28" s="134">
        <f>H28-G28</f>
        <v>75030.65399999998</v>
      </c>
      <c r="J28" s="135"/>
      <c r="K28" s="135"/>
      <c r="N28" s="234"/>
      <c r="O28" s="234"/>
      <c r="P28" s="234"/>
      <c r="Q28" s="234"/>
    </row>
    <row r="29" spans="2:17">
      <c r="B29" s="6"/>
      <c r="C29" s="6"/>
      <c r="D29" s="6"/>
      <c r="E29" s="29"/>
      <c r="F29" s="29"/>
      <c r="G29" s="29"/>
      <c r="H29" s="29"/>
      <c r="I29" s="2"/>
      <c r="J29" s="2"/>
      <c r="K29" s="2"/>
      <c r="N29" s="234"/>
      <c r="O29" s="234"/>
      <c r="P29" s="234"/>
      <c r="Q29" s="234"/>
    </row>
    <row r="30" spans="2:17" ht="16.5" thickBot="1">
      <c r="B30" s="207" t="s">
        <v>153</v>
      </c>
      <c r="C30" s="207"/>
      <c r="D30" s="207"/>
      <c r="E30" s="207"/>
      <c r="F30" s="207"/>
      <c r="G30" s="207"/>
      <c r="H30" s="207"/>
      <c r="I30" s="207"/>
      <c r="J30" s="149"/>
      <c r="K30" s="149"/>
      <c r="N30" s="234"/>
      <c r="O30" s="234"/>
      <c r="P30" s="234"/>
      <c r="Q30" s="234"/>
    </row>
    <row r="31" spans="2:17" ht="44.25" customHeight="1">
      <c r="B31" s="20"/>
      <c r="C31" s="65"/>
      <c r="D31" s="208" t="s">
        <v>154</v>
      </c>
      <c r="E31" s="209"/>
      <c r="F31" s="210" t="s">
        <v>10</v>
      </c>
      <c r="G31" s="211"/>
      <c r="H31" s="210" t="s">
        <v>11</v>
      </c>
      <c r="I31" s="212"/>
      <c r="J31" s="154"/>
      <c r="K31" s="154"/>
      <c r="L31" s="24"/>
      <c r="M31" s="9"/>
      <c r="N31" s="238"/>
      <c r="O31" s="238"/>
      <c r="P31" s="238"/>
      <c r="Q31" s="238"/>
    </row>
    <row r="32" spans="2:17">
      <c r="B32" s="21" t="s">
        <v>12</v>
      </c>
      <c r="C32" s="67"/>
      <c r="D32" s="203">
        <f>F32+H32</f>
        <v>91647.65</v>
      </c>
      <c r="E32" s="204"/>
      <c r="F32" s="203">
        <f>24800.63+27859.26+11742</f>
        <v>64401.89</v>
      </c>
      <c r="G32" s="204"/>
      <c r="H32" s="203">
        <f>G24</f>
        <v>27245.759999999998</v>
      </c>
      <c r="I32" s="213"/>
      <c r="J32" s="155"/>
      <c r="K32" s="155"/>
      <c r="L32" s="10"/>
      <c r="M32" s="10"/>
      <c r="N32" s="234"/>
      <c r="O32" s="234"/>
      <c r="P32" s="234"/>
      <c r="Q32" s="234"/>
    </row>
    <row r="33" spans="2:17">
      <c r="B33" s="21" t="s">
        <v>13</v>
      </c>
      <c r="C33" s="67"/>
      <c r="D33" s="203">
        <f>F33+H33</f>
        <v>77324.94</v>
      </c>
      <c r="E33" s="204"/>
      <c r="F33" s="203">
        <f>20921.16+23501.35+9918.62</f>
        <v>54341.13</v>
      </c>
      <c r="G33" s="204"/>
      <c r="H33" s="203">
        <v>22983.81</v>
      </c>
      <c r="I33" s="213"/>
      <c r="J33" s="155"/>
      <c r="K33" s="155"/>
      <c r="L33" s="25"/>
      <c r="M33" s="10"/>
      <c r="N33" s="234"/>
      <c r="O33" s="234"/>
      <c r="P33" s="234"/>
      <c r="Q33" s="234"/>
    </row>
    <row r="34" spans="2:17" ht="16.5" thickBot="1">
      <c r="B34" s="22" t="s">
        <v>114</v>
      </c>
      <c r="C34" s="69"/>
      <c r="D34" s="205">
        <f>F34+H34</f>
        <v>166678.30399999997</v>
      </c>
      <c r="E34" s="206"/>
      <c r="F34" s="205">
        <f>H16+H17+H18+H19+H20+H21+H22+H23+H25+H26+H27</f>
        <v>64372.303999999982</v>
      </c>
      <c r="G34" s="206"/>
      <c r="H34" s="205">
        <f>H24</f>
        <v>102306</v>
      </c>
      <c r="I34" s="214"/>
      <c r="J34" s="155"/>
      <c r="K34" s="155"/>
      <c r="L34" s="10"/>
      <c r="M34" s="10"/>
      <c r="N34" s="234"/>
      <c r="O34" s="234"/>
      <c r="P34" s="234"/>
      <c r="Q34" s="234"/>
    </row>
    <row r="35" spans="2:17" ht="27" thickBot="1">
      <c r="B35" s="23" t="s">
        <v>115</v>
      </c>
      <c r="C35" s="72"/>
      <c r="D35" s="184">
        <f>F35+H35</f>
        <v>-89353.363999999987</v>
      </c>
      <c r="E35" s="185"/>
      <c r="F35" s="182">
        <f>F33-F34</f>
        <v>-10031.173999999985</v>
      </c>
      <c r="G35" s="183"/>
      <c r="H35" s="182">
        <f>H33-H34</f>
        <v>-79322.19</v>
      </c>
      <c r="I35" s="202"/>
      <c r="J35" s="155"/>
      <c r="K35" s="155"/>
      <c r="L35" s="10"/>
      <c r="M35" s="10"/>
      <c r="N35" s="234"/>
      <c r="O35" s="234"/>
      <c r="P35" s="234"/>
      <c r="Q35" s="234"/>
    </row>
    <row r="36" spans="2:17" ht="34.5" customHeight="1">
      <c r="B36" s="147" t="s">
        <v>116</v>
      </c>
      <c r="C36" s="147"/>
      <c r="D36" s="136"/>
      <c r="E36" s="180" t="s">
        <v>117</v>
      </c>
      <c r="F36" s="180"/>
      <c r="G36" s="178" t="s">
        <v>14</v>
      </c>
      <c r="H36" s="178"/>
      <c r="I36" s="147"/>
      <c r="J36" s="147"/>
      <c r="K36" s="147"/>
      <c r="L36" s="8"/>
      <c r="M36" s="8"/>
      <c r="N36" s="237"/>
      <c r="O36" s="237"/>
      <c r="P36" s="237"/>
      <c r="Q36" s="237"/>
    </row>
    <row r="37" spans="2:17" ht="11.25" customHeight="1">
      <c r="B37" s="147"/>
      <c r="C37" s="147"/>
      <c r="D37" s="147"/>
      <c r="E37" s="179" t="s">
        <v>15</v>
      </c>
      <c r="F37" s="179"/>
      <c r="G37" s="181"/>
      <c r="H37" s="181"/>
      <c r="I37" s="148"/>
      <c r="J37" s="148"/>
      <c r="K37" s="148"/>
      <c r="L37" s="8"/>
      <c r="M37" s="8"/>
      <c r="N37" s="237"/>
      <c r="O37" s="237"/>
      <c r="P37" s="237"/>
      <c r="Q37" s="237"/>
    </row>
    <row r="38" spans="2:17">
      <c r="B38" s="147" t="s">
        <v>118</v>
      </c>
      <c r="C38" s="147"/>
      <c r="D38" s="147"/>
      <c r="E38" s="177" t="s">
        <v>117</v>
      </c>
      <c r="F38" s="177"/>
      <c r="G38" s="178" t="s">
        <v>131</v>
      </c>
      <c r="H38" s="178"/>
      <c r="I38" s="147"/>
      <c r="J38" s="147"/>
      <c r="K38" s="147"/>
      <c r="L38" s="8"/>
      <c r="M38" s="8"/>
      <c r="N38" s="237"/>
      <c r="O38" s="237"/>
      <c r="P38" s="237"/>
      <c r="Q38" s="237"/>
    </row>
    <row r="39" spans="2:17" ht="9.75" customHeight="1">
      <c r="B39" s="147"/>
      <c r="C39" s="147"/>
      <c r="D39" s="147"/>
      <c r="E39" s="179" t="s">
        <v>15</v>
      </c>
      <c r="F39" s="179"/>
      <c r="G39" s="178"/>
      <c r="H39" s="178"/>
      <c r="I39" s="147"/>
      <c r="J39" s="147"/>
      <c r="K39" s="147"/>
      <c r="N39" s="234"/>
      <c r="O39" s="234"/>
      <c r="P39" s="234"/>
      <c r="Q39" s="234"/>
    </row>
    <row r="40" spans="2:17">
      <c r="B40" s="147" t="s">
        <v>119</v>
      </c>
      <c r="C40" s="147"/>
      <c r="D40" s="147"/>
      <c r="E40" s="177" t="s">
        <v>117</v>
      </c>
      <c r="F40" s="177"/>
      <c r="G40" s="178" t="s">
        <v>157</v>
      </c>
      <c r="H40" s="178"/>
      <c r="I40" s="147"/>
      <c r="J40" s="147"/>
      <c r="K40" s="147"/>
      <c r="N40" s="234"/>
      <c r="O40" s="234"/>
      <c r="P40" s="234"/>
      <c r="Q40" s="234"/>
    </row>
    <row r="41" spans="2:17" ht="8.25" customHeight="1">
      <c r="B41" s="27"/>
      <c r="C41" s="27"/>
      <c r="D41" s="27"/>
      <c r="E41" s="179" t="s">
        <v>15</v>
      </c>
      <c r="F41" s="179"/>
      <c r="G41" s="151"/>
      <c r="H41" s="137"/>
      <c r="I41" s="152"/>
      <c r="J41" s="152"/>
      <c r="K41" s="152"/>
      <c r="N41" s="234"/>
      <c r="O41" s="234"/>
      <c r="P41" s="234"/>
      <c r="Q41" s="234"/>
    </row>
    <row r="42" spans="2:17">
      <c r="B42" s="147" t="s">
        <v>120</v>
      </c>
      <c r="C42" s="147"/>
      <c r="D42" s="147"/>
      <c r="E42" s="177" t="s">
        <v>117</v>
      </c>
      <c r="F42" s="177"/>
      <c r="G42" s="178" t="s">
        <v>93</v>
      </c>
      <c r="H42" s="178"/>
    </row>
    <row r="43" spans="2:17" ht="9" customHeight="1">
      <c r="B43" s="138"/>
      <c r="C43" s="138"/>
      <c r="D43" s="138"/>
      <c r="E43" s="179" t="s">
        <v>15</v>
      </c>
      <c r="F43" s="179"/>
      <c r="G43" s="179"/>
      <c r="H43" s="179"/>
    </row>
  </sheetData>
  <mergeCells count="42">
    <mergeCell ref="B30:I30"/>
    <mergeCell ref="D31:E31"/>
    <mergeCell ref="F31:G31"/>
    <mergeCell ref="H31:I31"/>
    <mergeCell ref="D32:E32"/>
    <mergeCell ref="F32:G32"/>
    <mergeCell ref="H32:I32"/>
    <mergeCell ref="B2:I3"/>
    <mergeCell ref="B13:I13"/>
    <mergeCell ref="B14:B15"/>
    <mergeCell ref="C14:C15"/>
    <mergeCell ref="D14:D15"/>
    <mergeCell ref="E14:E15"/>
    <mergeCell ref="F14:F15"/>
    <mergeCell ref="G14:H14"/>
    <mergeCell ref="I14:I15"/>
    <mergeCell ref="D5:F5"/>
    <mergeCell ref="D12:E12"/>
    <mergeCell ref="H33:I33"/>
    <mergeCell ref="H34:I34"/>
    <mergeCell ref="H35:I35"/>
    <mergeCell ref="E36:F36"/>
    <mergeCell ref="G36:H36"/>
    <mergeCell ref="D35:E35"/>
    <mergeCell ref="D34:E34"/>
    <mergeCell ref="F34:G34"/>
    <mergeCell ref="F35:G35"/>
    <mergeCell ref="D33:E33"/>
    <mergeCell ref="F33:G33"/>
    <mergeCell ref="G37:H37"/>
    <mergeCell ref="E38:F38"/>
    <mergeCell ref="G38:H38"/>
    <mergeCell ref="E39:F39"/>
    <mergeCell ref="G39:H39"/>
    <mergeCell ref="E37:F37"/>
    <mergeCell ref="G40:H40"/>
    <mergeCell ref="E41:F41"/>
    <mergeCell ref="E42:F42"/>
    <mergeCell ref="G42:H42"/>
    <mergeCell ref="E43:F43"/>
    <mergeCell ref="G43:H43"/>
    <mergeCell ref="E40:F40"/>
  </mergeCells>
  <printOptions horizontalCentered="1"/>
  <pageMargins left="0.19685039370078741" right="0.19685039370078741" top="0.15748031496062992" bottom="0.23622047244094491" header="0.31496062992125984" footer="0.31496062992125984"/>
  <pageSetup paperSize="9" scale="4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26</vt:i4>
      </vt:variant>
    </vt:vector>
  </HeadingPairs>
  <TitlesOfParts>
    <vt:vector size="26" baseType="lpstr">
      <vt:lpstr>вой.64</vt:lpstr>
      <vt:lpstr>вой.66</vt:lpstr>
      <vt:lpstr>коп.3</vt:lpstr>
      <vt:lpstr>коп.5</vt:lpstr>
      <vt:lpstr>коп.7</vt:lpstr>
      <vt:lpstr>коп.8</vt:lpstr>
      <vt:lpstr>коп.10</vt:lpstr>
      <vt:lpstr>коп.15</vt:lpstr>
      <vt:lpstr>коп.17</vt:lpstr>
      <vt:lpstr>коп.19</vt:lpstr>
      <vt:lpstr>коп.23</vt:lpstr>
      <vt:lpstr>коп.25</vt:lpstr>
      <vt:lpstr>лин.21</vt:lpstr>
      <vt:lpstr>лин.23</vt:lpstr>
      <vt:lpstr>лин.25</vt:lpstr>
      <vt:lpstr>лин.27</vt:lpstr>
      <vt:lpstr>лин.30</vt:lpstr>
      <vt:lpstr>маг.4</vt:lpstr>
      <vt:lpstr>маг.6</vt:lpstr>
      <vt:lpstr>мар.рас.16</vt:lpstr>
      <vt:lpstr>мар.рас.22</vt:lpstr>
      <vt:lpstr>перс.1</vt:lpstr>
      <vt:lpstr>перс.3</vt:lpstr>
      <vt:lpstr>фест.4</vt:lpstr>
      <vt:lpstr>фест.8</vt:lpstr>
      <vt:lpstr>фест.10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2016-06-06T05:44:55Z</dcterms:modified>
</cp:coreProperties>
</file>