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60" sheetId="1" r:id="rId1"/>
    <sheet name="62" sheetId="2" r:id="rId2"/>
    <sheet name="62а" sheetId="3" r:id="rId3"/>
    <sheet name="68" sheetId="4" r:id="rId4"/>
    <sheet name="68а" sheetId="5" r:id="rId5"/>
    <sheet name="70" sheetId="6" r:id="rId6"/>
    <sheet name="70а" sheetId="7" r:id="rId7"/>
    <sheet name="72" sheetId="8" r:id="rId8"/>
    <sheet name="72а" sheetId="9" r:id="rId9"/>
    <sheet name="80" sheetId="11" r:id="rId10"/>
    <sheet name="82" sheetId="12" r:id="rId11"/>
    <sheet name="84в" sheetId="13" r:id="rId12"/>
    <sheet name="86а" sheetId="14" r:id="rId13"/>
    <sheet name="88" sheetId="15" r:id="rId14"/>
    <sheet name="92" sheetId="17" r:id="rId15"/>
    <sheet name="92а" sheetId="18" r:id="rId16"/>
    <sheet name="94" sheetId="19" r:id="rId17"/>
    <sheet name="96" sheetId="20" r:id="rId18"/>
    <sheet name="96а" sheetId="21" r:id="rId19"/>
    <sheet name="98" sheetId="22" r:id="rId20"/>
    <sheet name="100" sheetId="23" r:id="rId21"/>
    <sheet name="Лист1" sheetId="24" r:id="rId22"/>
  </sheets>
  <calcPr calcId="124519"/>
  <fileRecoveryPr autoRecover="0"/>
</workbook>
</file>

<file path=xl/calcChain.xml><?xml version="1.0" encoding="utf-8"?>
<calcChain xmlns="http://schemas.openxmlformats.org/spreadsheetml/2006/main">
  <c r="P23" i="8"/>
  <c r="H35" s="1"/>
  <c r="N23"/>
  <c r="N35" i="23"/>
  <c r="H35"/>
  <c r="F35"/>
  <c r="F34"/>
  <c r="N34"/>
  <c r="F35" i="22"/>
  <c r="F35" i="21"/>
  <c r="F36"/>
  <c r="F34" i="20"/>
  <c r="F35"/>
  <c r="N35" i="19"/>
  <c r="N34"/>
  <c r="H35"/>
  <c r="F35"/>
  <c r="N35" i="8"/>
  <c r="N36" i="18"/>
  <c r="H36"/>
  <c r="N35"/>
  <c r="F36"/>
  <c r="F36" i="17"/>
  <c r="F36" i="15"/>
  <c r="F35" i="14"/>
  <c r="F36" i="13"/>
  <c r="F35" i="12"/>
  <c r="F32" i="11"/>
  <c r="F36" i="9"/>
  <c r="N34" i="8"/>
  <c r="F35" i="7"/>
  <c r="F36" i="6" l="1"/>
  <c r="F35" i="5"/>
  <c r="F35" i="4"/>
  <c r="F36" i="3"/>
  <c r="F35" i="2"/>
  <c r="O19"/>
  <c r="F35" i="1" l="1"/>
  <c r="O19"/>
  <c r="J35" i="20" l="1"/>
  <c r="H37" i="21"/>
  <c r="I23"/>
  <c r="H37" i="17"/>
  <c r="I23"/>
  <c r="H37" i="15"/>
  <c r="I23"/>
  <c r="H37" i="9"/>
  <c r="I23"/>
  <c r="F37" i="6"/>
  <c r="D37" s="1"/>
  <c r="H31"/>
  <c r="H37"/>
  <c r="I23"/>
  <c r="Q19" i="23"/>
  <c r="P19"/>
  <c r="Q19" i="19"/>
  <c r="P19"/>
  <c r="Q19" i="18"/>
  <c r="P19"/>
  <c r="Q19" i="13"/>
  <c r="Q16" i="11"/>
  <c r="P16"/>
  <c r="H22" l="1"/>
  <c r="R16"/>
  <c r="P19" i="8"/>
  <c r="Q19"/>
  <c r="P14" l="1"/>
  <c r="F34" i="19" l="1"/>
  <c r="G28"/>
  <c r="O19"/>
  <c r="N19"/>
  <c r="P23"/>
  <c r="N23"/>
  <c r="N21" s="1"/>
  <c r="O21" s="1"/>
  <c r="P21"/>
  <c r="Q21" s="1"/>
  <c r="F35" i="18"/>
  <c r="G28"/>
  <c r="O19"/>
  <c r="N19"/>
  <c r="P23"/>
  <c r="P21" s="1"/>
  <c r="Q21" s="1"/>
  <c r="N23"/>
  <c r="N21"/>
  <c r="O21" s="1"/>
  <c r="G28" i="8"/>
  <c r="P22"/>
  <c r="N22"/>
  <c r="P22" i="23"/>
  <c r="N22"/>
  <c r="N23" l="1"/>
  <c r="G28" s="1"/>
  <c r="P23"/>
  <c r="P21" i="8"/>
  <c r="F35" s="1"/>
  <c r="N21"/>
  <c r="I28" i="23"/>
  <c r="I26"/>
  <c r="N35" i="22"/>
  <c r="N34"/>
  <c r="O34" s="1"/>
  <c r="F34"/>
  <c r="O19"/>
  <c r="I28"/>
  <c r="I26"/>
  <c r="N36" i="21"/>
  <c r="N35"/>
  <c r="O19"/>
  <c r="I29"/>
  <c r="I27"/>
  <c r="O35" i="20"/>
  <c r="O34"/>
  <c r="P19"/>
  <c r="I28"/>
  <c r="I26"/>
  <c r="Q21" i="8" l="1"/>
  <c r="O21"/>
  <c r="N19" s="1"/>
  <c r="F34"/>
  <c r="P21" i="23"/>
  <c r="N21"/>
  <c r="I28" i="19"/>
  <c r="I26"/>
  <c r="N20" i="18"/>
  <c r="I28"/>
  <c r="I26"/>
  <c r="N36" i="17"/>
  <c r="N35"/>
  <c r="O35" s="1"/>
  <c r="F35"/>
  <c r="O20"/>
  <c r="O19"/>
  <c r="I29"/>
  <c r="I27"/>
  <c r="I30" i="15"/>
  <c r="I29"/>
  <c r="I28"/>
  <c r="I27"/>
  <c r="I26"/>
  <c r="I25"/>
  <c r="I24"/>
  <c r="I22"/>
  <c r="I21"/>
  <c r="I20"/>
  <c r="N36"/>
  <c r="N35"/>
  <c r="O35" s="1"/>
  <c r="F35"/>
  <c r="O19"/>
  <c r="N14" i="8" l="1"/>
  <c r="O19"/>
  <c r="I31" i="15"/>
  <c r="Q21" i="23"/>
  <c r="O21"/>
  <c r="N35" i="14"/>
  <c r="N34"/>
  <c r="O34" s="1"/>
  <c r="N36" i="13"/>
  <c r="N35"/>
  <c r="O35" s="1"/>
  <c r="F34" i="14"/>
  <c r="O19"/>
  <c r="I28"/>
  <c r="I26"/>
  <c r="O19" i="23" l="1"/>
  <c r="N19"/>
  <c r="F35" i="13"/>
  <c r="O19"/>
  <c r="I28"/>
  <c r="I26"/>
  <c r="F34" i="12"/>
  <c r="N35"/>
  <c r="N34"/>
  <c r="O19"/>
  <c r="I28"/>
  <c r="I26"/>
  <c r="N32" i="11"/>
  <c r="N31"/>
  <c r="O31" s="1"/>
  <c r="O16"/>
  <c r="F31"/>
  <c r="I25"/>
  <c r="I23"/>
  <c r="N36" i="9"/>
  <c r="N35"/>
  <c r="O35" s="1"/>
  <c r="F35"/>
  <c r="O19"/>
  <c r="I29"/>
  <c r="I27"/>
  <c r="I26" i="8"/>
  <c r="O19" i="7"/>
  <c r="N35"/>
  <c r="N34"/>
  <c r="O34" s="1"/>
  <c r="F34"/>
  <c r="I28"/>
  <c r="I26"/>
  <c r="I30" s="1"/>
  <c r="N36" i="6"/>
  <c r="N35"/>
  <c r="O35" s="1"/>
  <c r="F35"/>
  <c r="O19"/>
  <c r="I29"/>
  <c r="I27"/>
  <c r="I31" s="1"/>
  <c r="N35" i="5"/>
  <c r="N34"/>
  <c r="O34" s="1"/>
  <c r="F34"/>
  <c r="O19"/>
  <c r="I28"/>
  <c r="I26"/>
  <c r="I30" s="1"/>
  <c r="N35" i="4"/>
  <c r="N34"/>
  <c r="O34" s="1"/>
  <c r="F34"/>
  <c r="O19"/>
  <c r="Q20"/>
  <c r="P20"/>
  <c r="O20"/>
  <c r="N20"/>
  <c r="I28"/>
  <c r="I26"/>
  <c r="N20" i="13"/>
  <c r="O20" i="3"/>
  <c r="G29" s="1"/>
  <c r="N20"/>
  <c r="G20"/>
  <c r="F37" l="1"/>
  <c r="D37" s="1"/>
  <c r="G30"/>
  <c r="G27"/>
  <c r="G21"/>
  <c r="G22"/>
  <c r="G23"/>
  <c r="G24"/>
  <c r="G25"/>
  <c r="H31"/>
  <c r="O19"/>
  <c r="D35"/>
  <c r="I28"/>
  <c r="I26"/>
  <c r="N36"/>
  <c r="N35"/>
  <c r="O35" s="1"/>
  <c r="F35"/>
  <c r="I29"/>
  <c r="F34" i="2"/>
  <c r="G30"/>
  <c r="N34"/>
  <c r="N35"/>
  <c r="N34" i="1"/>
  <c r="O34" s="1"/>
  <c r="I29" i="2"/>
  <c r="I28"/>
  <c r="I27"/>
  <c r="I26"/>
  <c r="I25"/>
  <c r="I24"/>
  <c r="I23"/>
  <c r="I22"/>
  <c r="I21"/>
  <c r="I20"/>
  <c r="F36" i="1"/>
  <c r="F37"/>
  <c r="I29"/>
  <c r="I28"/>
  <c r="N35"/>
  <c r="I26"/>
  <c r="I30" s="1"/>
  <c r="I27"/>
  <c r="I25"/>
  <c r="I24"/>
  <c r="I23"/>
  <c r="I22"/>
  <c r="I21"/>
  <c r="I20"/>
  <c r="F34"/>
  <c r="I30" i="2" l="1"/>
  <c r="G31" i="3"/>
  <c r="P20" i="22" l="1"/>
  <c r="N20"/>
  <c r="Q20" i="20"/>
  <c r="O20"/>
  <c r="P20" i="19"/>
  <c r="N20"/>
  <c r="P20" i="18"/>
  <c r="P20" i="17"/>
  <c r="N20"/>
  <c r="P20" i="13"/>
  <c r="P20" i="12"/>
  <c r="N20"/>
  <c r="P17" i="11"/>
  <c r="N17"/>
  <c r="P20" i="9"/>
  <c r="N20"/>
  <c r="P20" i="8"/>
  <c r="N20"/>
  <c r="P20" i="7"/>
  <c r="N20"/>
  <c r="P20" i="6"/>
  <c r="N20"/>
  <c r="P20" i="5"/>
  <c r="N20"/>
  <c r="P20" i="3"/>
  <c r="Q20" i="2"/>
  <c r="P20"/>
  <c r="O20"/>
  <c r="N20"/>
  <c r="Q20" i="1"/>
  <c r="P20"/>
  <c r="O20"/>
  <c r="N20"/>
  <c r="H38" i="21"/>
  <c r="J34" i="20"/>
  <c r="G20" i="1" l="1"/>
  <c r="H34"/>
  <c r="H34" i="2"/>
  <c r="H35" i="3"/>
  <c r="H34" i="4"/>
  <c r="H36"/>
  <c r="E30" i="2"/>
  <c r="F30" i="1" l="1"/>
  <c r="D34" l="1"/>
  <c r="H36" i="23" l="1"/>
  <c r="H37" s="1"/>
  <c r="H34"/>
  <c r="D34" s="1"/>
  <c r="O34" s="1"/>
  <c r="F30"/>
  <c r="E30"/>
  <c r="D35" i="22"/>
  <c r="O35" s="1"/>
  <c r="H36"/>
  <c r="H37" s="1"/>
  <c r="H34"/>
  <c r="F30"/>
  <c r="E30"/>
  <c r="K37" i="20"/>
  <c r="J37"/>
  <c r="N20" i="23" l="1"/>
  <c r="P20"/>
  <c r="Q20"/>
  <c r="O20"/>
  <c r="Q20" i="22"/>
  <c r="O20"/>
  <c r="D35" i="23"/>
  <c r="O35" s="1"/>
  <c r="D34" i="22"/>
  <c r="H25" i="23" l="1"/>
  <c r="H23"/>
  <c r="H21"/>
  <c r="H29"/>
  <c r="H27"/>
  <c r="H24"/>
  <c r="H22"/>
  <c r="H20"/>
  <c r="G29"/>
  <c r="G27"/>
  <c r="G25"/>
  <c r="G24"/>
  <c r="G23"/>
  <c r="G22"/>
  <c r="G21"/>
  <c r="G20"/>
  <c r="H29" i="22"/>
  <c r="H27"/>
  <c r="H25"/>
  <c r="H23"/>
  <c r="H21"/>
  <c r="H24"/>
  <c r="H22"/>
  <c r="H20"/>
  <c r="G29"/>
  <c r="I29" s="1"/>
  <c r="G27"/>
  <c r="I27" s="1"/>
  <c r="G25"/>
  <c r="I25" s="1"/>
  <c r="G24"/>
  <c r="I24" s="1"/>
  <c r="G23"/>
  <c r="I23" s="1"/>
  <c r="G22"/>
  <c r="I22" s="1"/>
  <c r="G21"/>
  <c r="I21" s="1"/>
  <c r="G20"/>
  <c r="D36" i="21"/>
  <c r="O36" s="1"/>
  <c r="G30" i="23" l="1"/>
  <c r="I22"/>
  <c r="I27"/>
  <c r="I21"/>
  <c r="I25"/>
  <c r="I20"/>
  <c r="F36"/>
  <c r="F37" s="1"/>
  <c r="D37" s="1"/>
  <c r="H30"/>
  <c r="I24"/>
  <c r="I29"/>
  <c r="I23"/>
  <c r="I20" i="22"/>
  <c r="I30" s="1"/>
  <c r="G30"/>
  <c r="F36"/>
  <c r="H30"/>
  <c r="H35" i="21"/>
  <c r="D35" s="1"/>
  <c r="O35" s="1"/>
  <c r="F31"/>
  <c r="E31"/>
  <c r="D35" i="20"/>
  <c r="P35" s="1"/>
  <c r="H36"/>
  <c r="H37" s="1"/>
  <c r="H34"/>
  <c r="F30"/>
  <c r="E30"/>
  <c r="H36" i="19"/>
  <c r="H37" s="1"/>
  <c r="H34"/>
  <c r="D34" s="1"/>
  <c r="O34" s="1"/>
  <c r="F30"/>
  <c r="E30"/>
  <c r="H37" i="18"/>
  <c r="H38" s="1"/>
  <c r="H35"/>
  <c r="F31"/>
  <c r="E31"/>
  <c r="H38" i="17"/>
  <c r="H35"/>
  <c r="F31"/>
  <c r="E31"/>
  <c r="H38" i="15"/>
  <c r="H35"/>
  <c r="F31"/>
  <c r="E31"/>
  <c r="E30" i="14"/>
  <c r="F30"/>
  <c r="H36"/>
  <c r="H37" s="1"/>
  <c r="H34"/>
  <c r="H37" i="13"/>
  <c r="H38" s="1"/>
  <c r="H35"/>
  <c r="F31"/>
  <c r="E31"/>
  <c r="H36" i="12"/>
  <c r="H37" s="1"/>
  <c r="H34"/>
  <c r="F30"/>
  <c r="E30"/>
  <c r="H33" i="11"/>
  <c r="H34" s="1"/>
  <c r="H31"/>
  <c r="F27"/>
  <c r="E27"/>
  <c r="H38" i="9"/>
  <c r="H35"/>
  <c r="F31"/>
  <c r="E31"/>
  <c r="D35" i="8"/>
  <c r="O35" s="1"/>
  <c r="H34"/>
  <c r="F30"/>
  <c r="E30"/>
  <c r="D35" i="7"/>
  <c r="O35" s="1"/>
  <c r="H37"/>
  <c r="H34"/>
  <c r="F30"/>
  <c r="E30"/>
  <c r="H38" i="6"/>
  <c r="H35"/>
  <c r="F31"/>
  <c r="E31"/>
  <c r="E30" i="5"/>
  <c r="H36"/>
  <c r="H37" s="1"/>
  <c r="D35"/>
  <c r="O35" s="1"/>
  <c r="H34"/>
  <c r="F30"/>
  <c r="D35" i="4"/>
  <c r="O35" s="1"/>
  <c r="H37"/>
  <c r="F30"/>
  <c r="E30"/>
  <c r="H29"/>
  <c r="G29"/>
  <c r="H27"/>
  <c r="G27"/>
  <c r="H25"/>
  <c r="G25"/>
  <c r="H24"/>
  <c r="G24"/>
  <c r="H23"/>
  <c r="G23"/>
  <c r="H22"/>
  <c r="G22"/>
  <c r="H21"/>
  <c r="G21"/>
  <c r="H20"/>
  <c r="G20"/>
  <c r="I30" i="23" l="1"/>
  <c r="D36"/>
  <c r="D36" i="22"/>
  <c r="F37"/>
  <c r="D37" s="1"/>
  <c r="N20" i="21"/>
  <c r="P20"/>
  <c r="Q20"/>
  <c r="O20"/>
  <c r="R20" i="20"/>
  <c r="P20"/>
  <c r="Q20" i="19"/>
  <c r="O20"/>
  <c r="O20" i="18"/>
  <c r="Q20"/>
  <c r="Q20" i="17"/>
  <c r="P20" i="15"/>
  <c r="N20"/>
  <c r="Q20"/>
  <c r="O20"/>
  <c r="P20" i="14"/>
  <c r="N20"/>
  <c r="Q20"/>
  <c r="O20"/>
  <c r="O20" i="13"/>
  <c r="Q20"/>
  <c r="Q20" i="12"/>
  <c r="O20"/>
  <c r="Q17" i="11"/>
  <c r="O17"/>
  <c r="Q20" i="9"/>
  <c r="O20"/>
  <c r="Q20" i="8"/>
  <c r="O20"/>
  <c r="Q20" i="7"/>
  <c r="O20"/>
  <c r="Q20" i="6"/>
  <c r="O20"/>
  <c r="Q20" i="5"/>
  <c r="O20"/>
  <c r="I20" i="4"/>
  <c r="I21"/>
  <c r="I22"/>
  <c r="I23"/>
  <c r="I24"/>
  <c r="I25"/>
  <c r="I27"/>
  <c r="I29"/>
  <c r="F36"/>
  <c r="F37" s="1"/>
  <c r="D37" s="1"/>
  <c r="D35" i="13"/>
  <c r="D34" i="14"/>
  <c r="G30" i="4"/>
  <c r="D34"/>
  <c r="H30"/>
  <c r="D35" i="15"/>
  <c r="D34" i="20"/>
  <c r="P34" s="1"/>
  <c r="D35" i="19"/>
  <c r="O35" s="1"/>
  <c r="D35" i="18"/>
  <c r="O35" s="1"/>
  <c r="D36"/>
  <c r="O36" s="1"/>
  <c r="D35" i="17"/>
  <c r="D36"/>
  <c r="O36" s="1"/>
  <c r="D36" i="15"/>
  <c r="O36" s="1"/>
  <c r="D35" i="14"/>
  <c r="O35" s="1"/>
  <c r="D36" i="13"/>
  <c r="O36" s="1"/>
  <c r="D34" i="12"/>
  <c r="O34" s="1"/>
  <c r="D35"/>
  <c r="O35" s="1"/>
  <c r="H17" i="11"/>
  <c r="H18"/>
  <c r="H19"/>
  <c r="H20"/>
  <c r="H26"/>
  <c r="H24"/>
  <c r="H21"/>
  <c r="D31"/>
  <c r="D32"/>
  <c r="O32" s="1"/>
  <c r="D35" i="9"/>
  <c r="D36"/>
  <c r="O36" s="1"/>
  <c r="D34" i="8"/>
  <c r="O34" s="1"/>
  <c r="D34" i="7"/>
  <c r="D35" i="6"/>
  <c r="D36"/>
  <c r="O36" s="1"/>
  <c r="D34" i="5"/>
  <c r="E31" i="3"/>
  <c r="F31"/>
  <c r="H37"/>
  <c r="H38" s="1"/>
  <c r="D36"/>
  <c r="O36" s="1"/>
  <c r="G20" i="2"/>
  <c r="H20"/>
  <c r="G21"/>
  <c r="H21"/>
  <c r="G22"/>
  <c r="H22"/>
  <c r="G23"/>
  <c r="H23"/>
  <c r="G24"/>
  <c r="H24"/>
  <c r="G25"/>
  <c r="H25" s="1"/>
  <c r="G27"/>
  <c r="H27"/>
  <c r="G29"/>
  <c r="H29"/>
  <c r="F30"/>
  <c r="D34"/>
  <c r="O34" s="1"/>
  <c r="D35"/>
  <c r="O35" s="1"/>
  <c r="H36"/>
  <c r="H37" s="1"/>
  <c r="H27" i="11" l="1"/>
  <c r="I28" i="8"/>
  <c r="H36"/>
  <c r="H37" s="1"/>
  <c r="H26" i="21"/>
  <c r="H28"/>
  <c r="H30"/>
  <c r="H25"/>
  <c r="H24"/>
  <c r="H22"/>
  <c r="H21"/>
  <c r="H20"/>
  <c r="G28"/>
  <c r="I28" s="1"/>
  <c r="G30"/>
  <c r="G26"/>
  <c r="I26" s="1"/>
  <c r="G25"/>
  <c r="I25" s="1"/>
  <c r="G24"/>
  <c r="I24" s="1"/>
  <c r="G22"/>
  <c r="I22" s="1"/>
  <c r="G21"/>
  <c r="I21" s="1"/>
  <c r="G20"/>
  <c r="H29" i="20"/>
  <c r="H27"/>
  <c r="H25"/>
  <c r="H24"/>
  <c r="H23"/>
  <c r="H22"/>
  <c r="H21"/>
  <c r="H20"/>
  <c r="G29"/>
  <c r="I29" s="1"/>
  <c r="G27"/>
  <c r="I27" s="1"/>
  <c r="G25"/>
  <c r="I25" s="1"/>
  <c r="G24"/>
  <c r="I24" s="1"/>
  <c r="G23"/>
  <c r="I23" s="1"/>
  <c r="G22"/>
  <c r="I22" s="1"/>
  <c r="G21"/>
  <c r="I21" s="1"/>
  <c r="G20"/>
  <c r="H20" i="19"/>
  <c r="H21"/>
  <c r="H22"/>
  <c r="H23"/>
  <c r="H29"/>
  <c r="H27"/>
  <c r="H25"/>
  <c r="H24"/>
  <c r="G20"/>
  <c r="G21"/>
  <c r="I21" s="1"/>
  <c r="G22"/>
  <c r="I22" s="1"/>
  <c r="G23"/>
  <c r="I23" s="1"/>
  <c r="G29"/>
  <c r="I29" s="1"/>
  <c r="G27"/>
  <c r="I27" s="1"/>
  <c r="G25"/>
  <c r="I25" s="1"/>
  <c r="G24"/>
  <c r="I24" s="1"/>
  <c r="G29" i="18"/>
  <c r="I29" s="1"/>
  <c r="G30"/>
  <c r="G27"/>
  <c r="G25"/>
  <c r="G24"/>
  <c r="G23"/>
  <c r="G22"/>
  <c r="G21"/>
  <c r="G20"/>
  <c r="H30"/>
  <c r="H27"/>
  <c r="H25"/>
  <c r="H24"/>
  <c r="H23"/>
  <c r="H22"/>
  <c r="H21"/>
  <c r="H20"/>
  <c r="H30" i="17"/>
  <c r="H28"/>
  <c r="H26"/>
  <c r="H25"/>
  <c r="H24"/>
  <c r="H22"/>
  <c r="H21"/>
  <c r="H20"/>
  <c r="G30"/>
  <c r="I30" s="1"/>
  <c r="G28"/>
  <c r="I28" s="1"/>
  <c r="G26"/>
  <c r="I26" s="1"/>
  <c r="G25"/>
  <c r="I25" s="1"/>
  <c r="G24"/>
  <c r="I24" s="1"/>
  <c r="G22"/>
  <c r="I22" s="1"/>
  <c r="G21"/>
  <c r="I21" s="1"/>
  <c r="G20"/>
  <c r="H28" i="15"/>
  <c r="H30"/>
  <c r="H26"/>
  <c r="H25"/>
  <c r="H24"/>
  <c r="H22"/>
  <c r="H21"/>
  <c r="H20"/>
  <c r="G30"/>
  <c r="G26"/>
  <c r="G25"/>
  <c r="G24"/>
  <c r="G22"/>
  <c r="G21"/>
  <c r="G20"/>
  <c r="G28"/>
  <c r="H27" i="14"/>
  <c r="H29"/>
  <c r="H25"/>
  <c r="H24"/>
  <c r="H23"/>
  <c r="H22"/>
  <c r="H21"/>
  <c r="H20"/>
  <c r="G29"/>
  <c r="G25"/>
  <c r="G24"/>
  <c r="G23"/>
  <c r="G22"/>
  <c r="G21"/>
  <c r="G20"/>
  <c r="G30" s="1"/>
  <c r="G27"/>
  <c r="G29" i="13"/>
  <c r="I29" s="1"/>
  <c r="G30"/>
  <c r="G27"/>
  <c r="G25"/>
  <c r="G24"/>
  <c r="G23"/>
  <c r="G22"/>
  <c r="G21"/>
  <c r="G20"/>
  <c r="H30"/>
  <c r="H27"/>
  <c r="H25"/>
  <c r="H24"/>
  <c r="H23"/>
  <c r="H22"/>
  <c r="H21"/>
  <c r="H20"/>
  <c r="H29" i="12"/>
  <c r="H25"/>
  <c r="H24"/>
  <c r="H23"/>
  <c r="H22"/>
  <c r="H21"/>
  <c r="H20"/>
  <c r="H27"/>
  <c r="G27"/>
  <c r="G29"/>
  <c r="G25"/>
  <c r="G24"/>
  <c r="G23"/>
  <c r="G22"/>
  <c r="G21"/>
  <c r="G20"/>
  <c r="G26" i="11"/>
  <c r="I26" s="1"/>
  <c r="G24"/>
  <c r="I24" s="1"/>
  <c r="G22"/>
  <c r="I22" s="1"/>
  <c r="G20"/>
  <c r="I20" s="1"/>
  <c r="G18"/>
  <c r="I18" s="1"/>
  <c r="G21"/>
  <c r="I21" s="1"/>
  <c r="G19"/>
  <c r="I19" s="1"/>
  <c r="G17"/>
  <c r="I17" s="1"/>
  <c r="H30" i="9"/>
  <c r="H28"/>
  <c r="H26"/>
  <c r="H25"/>
  <c r="H24"/>
  <c r="H22"/>
  <c r="H21"/>
  <c r="H20"/>
  <c r="G30"/>
  <c r="I30" s="1"/>
  <c r="G28"/>
  <c r="I28" s="1"/>
  <c r="G26"/>
  <c r="I26" s="1"/>
  <c r="G25"/>
  <c r="I25" s="1"/>
  <c r="G24"/>
  <c r="I24" s="1"/>
  <c r="G22"/>
  <c r="I22" s="1"/>
  <c r="G21"/>
  <c r="I21" s="1"/>
  <c r="G20"/>
  <c r="H29" i="8"/>
  <c r="H27"/>
  <c r="H25"/>
  <c r="H24"/>
  <c r="H23"/>
  <c r="H22"/>
  <c r="H21"/>
  <c r="H20"/>
  <c r="G29"/>
  <c r="I29" s="1"/>
  <c r="G27"/>
  <c r="I27" s="1"/>
  <c r="G25"/>
  <c r="I25" s="1"/>
  <c r="G24"/>
  <c r="I24" s="1"/>
  <c r="G23"/>
  <c r="I23" s="1"/>
  <c r="G22"/>
  <c r="I22" s="1"/>
  <c r="G21"/>
  <c r="I21" s="1"/>
  <c r="G20"/>
  <c r="H29" i="7"/>
  <c r="H25"/>
  <c r="H24"/>
  <c r="H23"/>
  <c r="H22"/>
  <c r="H21"/>
  <c r="H20"/>
  <c r="H27"/>
  <c r="G27"/>
  <c r="G29"/>
  <c r="G25"/>
  <c r="G24"/>
  <c r="G23"/>
  <c r="G22"/>
  <c r="G21"/>
  <c r="G20"/>
  <c r="H30" i="6"/>
  <c r="H28"/>
  <c r="H26"/>
  <c r="H25"/>
  <c r="H24"/>
  <c r="H22"/>
  <c r="H21"/>
  <c r="H20"/>
  <c r="G30"/>
  <c r="I30" s="1"/>
  <c r="G28"/>
  <c r="I28" s="1"/>
  <c r="G26"/>
  <c r="I26" s="1"/>
  <c r="G25"/>
  <c r="I25" s="1"/>
  <c r="G24"/>
  <c r="I24" s="1"/>
  <c r="G22"/>
  <c r="I22" s="1"/>
  <c r="G21"/>
  <c r="G20"/>
  <c r="H29" i="5"/>
  <c r="H27"/>
  <c r="H25"/>
  <c r="H24"/>
  <c r="H23"/>
  <c r="H22"/>
  <c r="H21"/>
  <c r="H20"/>
  <c r="G29"/>
  <c r="I29" s="1"/>
  <c r="G27"/>
  <c r="I27" s="1"/>
  <c r="G25"/>
  <c r="I25" s="1"/>
  <c r="G24"/>
  <c r="I24" s="1"/>
  <c r="G23"/>
  <c r="I23" s="1"/>
  <c r="G22"/>
  <c r="I22" s="1"/>
  <c r="G21"/>
  <c r="I21" s="1"/>
  <c r="G20"/>
  <c r="I30" i="4"/>
  <c r="Q20" i="3"/>
  <c r="F33" i="11"/>
  <c r="D33" s="1"/>
  <c r="F36" i="2"/>
  <c r="F37" s="1"/>
  <c r="D37" s="1"/>
  <c r="D36" i="4"/>
  <c r="H30" i="2"/>
  <c r="H30" i="8" l="1"/>
  <c r="F37" i="18"/>
  <c r="I20" i="21"/>
  <c r="G31"/>
  <c r="F37"/>
  <c r="H31"/>
  <c r="I30"/>
  <c r="I20" i="20"/>
  <c r="I30" s="1"/>
  <c r="G30"/>
  <c r="F36"/>
  <c r="H30"/>
  <c r="I20" i="19"/>
  <c r="I30" s="1"/>
  <c r="G30"/>
  <c r="F36"/>
  <c r="H30"/>
  <c r="H31" i="18"/>
  <c r="I20"/>
  <c r="G31"/>
  <c r="I22"/>
  <c r="I24"/>
  <c r="I27"/>
  <c r="I21"/>
  <c r="I23"/>
  <c r="I25"/>
  <c r="I20" i="17"/>
  <c r="I31" s="1"/>
  <c r="G31"/>
  <c r="F37"/>
  <c r="H31"/>
  <c r="G31" i="15"/>
  <c r="F37"/>
  <c r="H31"/>
  <c r="I21" i="14"/>
  <c r="I23"/>
  <c r="I25"/>
  <c r="I27"/>
  <c r="I20"/>
  <c r="I22"/>
  <c r="I24"/>
  <c r="I29"/>
  <c r="F36"/>
  <c r="H30"/>
  <c r="F37" i="13"/>
  <c r="H31"/>
  <c r="I20"/>
  <c r="G31"/>
  <c r="I22"/>
  <c r="I24"/>
  <c r="I27"/>
  <c r="I21"/>
  <c r="I23"/>
  <c r="I25"/>
  <c r="I30"/>
  <c r="I20" i="12"/>
  <c r="I22"/>
  <c r="I24"/>
  <c r="I29"/>
  <c r="I27"/>
  <c r="I21"/>
  <c r="I23"/>
  <c r="I25"/>
  <c r="G30"/>
  <c r="F36"/>
  <c r="H30"/>
  <c r="I27" i="11"/>
  <c r="G27"/>
  <c r="I20" i="9"/>
  <c r="I31" s="1"/>
  <c r="G31"/>
  <c r="F37"/>
  <c r="H31"/>
  <c r="I20" i="8"/>
  <c r="I30" s="1"/>
  <c r="G30"/>
  <c r="F36"/>
  <c r="I20" i="7"/>
  <c r="I22"/>
  <c r="I24"/>
  <c r="I29"/>
  <c r="I27"/>
  <c r="I21"/>
  <c r="I23"/>
  <c r="I25"/>
  <c r="G30"/>
  <c r="F36"/>
  <c r="H30"/>
  <c r="I21" i="6"/>
  <c r="I20"/>
  <c r="G31"/>
  <c r="G30" i="5"/>
  <c r="I20"/>
  <c r="F36"/>
  <c r="H30"/>
  <c r="H27" i="3"/>
  <c r="H24"/>
  <c r="H22"/>
  <c r="H30"/>
  <c r="H25"/>
  <c r="H23"/>
  <c r="H21"/>
  <c r="H20"/>
  <c r="I21"/>
  <c r="I27"/>
  <c r="I24"/>
  <c r="I22"/>
  <c r="I30"/>
  <c r="I25"/>
  <c r="I23"/>
  <c r="D36" i="2"/>
  <c r="F34" i="11"/>
  <c r="D34" s="1"/>
  <c r="D37" i="21" l="1"/>
  <c r="F38"/>
  <c r="D38" s="1"/>
  <c r="I31"/>
  <c r="D36" i="20"/>
  <c r="F37"/>
  <c r="D37" s="1"/>
  <c r="D36" i="19"/>
  <c r="F37"/>
  <c r="D37" s="1"/>
  <c r="D37" i="18"/>
  <c r="F38"/>
  <c r="D38" s="1"/>
  <c r="I30"/>
  <c r="I31"/>
  <c r="D37" i="17"/>
  <c r="F38"/>
  <c r="D38" s="1"/>
  <c r="D37" i="15"/>
  <c r="F38"/>
  <c r="D38" s="1"/>
  <c r="I30" i="14"/>
  <c r="D36"/>
  <c r="F37"/>
  <c r="D37" s="1"/>
  <c r="D37" i="13"/>
  <c r="F38"/>
  <c r="D38" s="1"/>
  <c r="I31"/>
  <c r="I30" i="12"/>
  <c r="D36"/>
  <c r="F37"/>
  <c r="D37" s="1"/>
  <c r="D37" i="9"/>
  <c r="F38"/>
  <c r="D38" s="1"/>
  <c r="D36" i="8"/>
  <c r="F37"/>
  <c r="D37" s="1"/>
  <c r="F37" i="7"/>
  <c r="D37" s="1"/>
  <c r="D36"/>
  <c r="F38" i="6"/>
  <c r="D38" s="1"/>
  <c r="D36" i="5"/>
  <c r="F37"/>
  <c r="D37" s="1"/>
  <c r="I20" i="3"/>
  <c r="I31" s="1"/>
  <c r="E30" i="1"/>
  <c r="G22"/>
  <c r="G21"/>
  <c r="H20"/>
  <c r="H36"/>
  <c r="H37" s="1"/>
  <c r="D37" s="1"/>
  <c r="H29"/>
  <c r="G29"/>
  <c r="F38" i="3" l="1"/>
  <c r="D38" s="1"/>
  <c r="D35" i="1"/>
  <c r="O35" s="1"/>
  <c r="H27" l="1"/>
  <c r="H21"/>
  <c r="H22"/>
  <c r="H23"/>
  <c r="H24"/>
  <c r="G27" l="1"/>
  <c r="G25"/>
  <c r="H25" s="1"/>
  <c r="G24"/>
  <c r="G23"/>
  <c r="G30" l="1"/>
  <c r="D36"/>
  <c r="H30"/>
</calcChain>
</file>

<file path=xl/sharedStrings.xml><?xml version="1.0" encoding="utf-8"?>
<sst xmlns="http://schemas.openxmlformats.org/spreadsheetml/2006/main" count="1879" uniqueCount="185">
  <si>
    <t>• Адрес МКД</t>
  </si>
  <si>
    <t>• Год постройки</t>
  </si>
  <si>
    <t>• Этажность</t>
  </si>
  <si>
    <t>• Количество квартир</t>
  </si>
  <si>
    <t>• Общая площадь дома с учетом помещений
общего пользования</t>
  </si>
  <si>
    <t>• Общая площадь жилых помещений</t>
  </si>
  <si>
    <t>• Общая площадь нежилых помещений</t>
  </si>
  <si>
    <t>0 кв. м.</t>
  </si>
  <si>
    <t>• Площадь придомовой территории,
входящей в состав общего имущества МКД</t>
  </si>
  <si>
    <t>Содержание общего
имущества МКД (руб.)</t>
  </si>
  <si>
    <t>Текущий ремонт 
общего имущества 
МКД (руб.)</t>
  </si>
  <si>
    <t>1. Начислено</t>
  </si>
  <si>
    <t>2. Оплачено</t>
  </si>
  <si>
    <t>Я. И. Егоров</t>
  </si>
  <si>
    <t>подпись</t>
  </si>
  <si>
    <t>Харьковская 60</t>
  </si>
  <si>
    <t>2767,8 кв. м.</t>
  </si>
  <si>
    <t>352 кв. м. - асфальт</t>
  </si>
  <si>
    <t>Харьковская 62</t>
  </si>
  <si>
    <t>2769,5 кв. м.</t>
  </si>
  <si>
    <t>3684,1 кв. м. - грунт;
1193,7 кв. м. - асфальт</t>
  </si>
  <si>
    <t>Харьковская 62а</t>
  </si>
  <si>
    <t>3415,9 кв. м.</t>
  </si>
  <si>
    <t>Харьковская 68</t>
  </si>
  <si>
    <t>2112,3 кв. м.</t>
  </si>
  <si>
    <t>43,9 кв. м.</t>
  </si>
  <si>
    <t>1742,3 кв. м. - грунт;
281 кв. м. - асфальт</t>
  </si>
  <si>
    <t>Харьковская 68а</t>
  </si>
  <si>
    <t>2122,2 кв. м.</t>
  </si>
  <si>
    <t>1870,8 кв. м. - грунт;
281 кв. м. - асфальт</t>
  </si>
  <si>
    <t>Харьковская 70</t>
  </si>
  <si>
    <t>1576,1 кв. м.</t>
  </si>
  <si>
    <t>Харьковская 70а</t>
  </si>
  <si>
    <t>1571,9 кв. м.</t>
  </si>
  <si>
    <t>2403 кв. м. - грунт;
210 кв. м. - асфальт</t>
  </si>
  <si>
    <t>Харьковская 72</t>
  </si>
  <si>
    <t>2705,4 кв. м.</t>
  </si>
  <si>
    <t>170,3 кв. м.</t>
  </si>
  <si>
    <t>Харьковская 72а</t>
  </si>
  <si>
    <t>1589,3 кв. м.</t>
  </si>
  <si>
    <t>1869,8 кв. м. - грунт;
210 кв. м. - асфальт</t>
  </si>
  <si>
    <t>Харьковская 80</t>
  </si>
  <si>
    <t>1570,79 кв. м.</t>
  </si>
  <si>
    <t>89 кв. м.</t>
  </si>
  <si>
    <t>3237,6 кв. м. - грунт;
210 кв. м. - асфальт</t>
  </si>
  <si>
    <t>Харьковская 82</t>
  </si>
  <si>
    <t>2742,8 кв. м.</t>
  </si>
  <si>
    <t>5145 кв. м. - грунт;
352 кв. м. - асфальт</t>
  </si>
  <si>
    <t>Харьковская 84в</t>
  </si>
  <si>
    <t>2041 кв. м.</t>
  </si>
  <si>
    <t>Харьковская 86а</t>
  </si>
  <si>
    <t>2219,1 кв. м.</t>
  </si>
  <si>
    <t>2057,9 кв. м. - грунт;
454,2 кв. м. - асфальт</t>
  </si>
  <si>
    <t>Харьковская 88</t>
  </si>
  <si>
    <t>2134 кв. м.</t>
  </si>
  <si>
    <t>2122 кв. м. - грунт;
281 кв. м. - асфальт</t>
  </si>
  <si>
    <t>Харьковская 92</t>
  </si>
  <si>
    <t>1581,2 кв. м.</t>
  </si>
  <si>
    <t>2602,5 кв. м. - грунт;
342,9 кв. м. - асфальт</t>
  </si>
  <si>
    <t>Харьковская 92а</t>
  </si>
  <si>
    <t>1559 кв. м.</t>
  </si>
  <si>
    <t>55,4 кв. м.</t>
  </si>
  <si>
    <t>2053,3 кв. м. - грунт;
210 кв. м. - асфальт</t>
  </si>
  <si>
    <t>Харьковская 94</t>
  </si>
  <si>
    <t>1618,9 кв. м.</t>
  </si>
  <si>
    <t>2096,7 кв. м. - грунт;
277,3 кв. м. - асфальт</t>
  </si>
  <si>
    <t>Харьковская 96</t>
  </si>
  <si>
    <t>2742,1 кв. м.</t>
  </si>
  <si>
    <t xml:space="preserve"> кв. м.</t>
  </si>
  <si>
    <t xml:space="preserve"> кв. м. - грунт;кв. м. - асфальт</t>
  </si>
  <si>
    <t>Харьковская 96а</t>
  </si>
  <si>
    <t>1568,3 кв. м.</t>
  </si>
  <si>
    <t xml:space="preserve"> 0 кв. м.</t>
  </si>
  <si>
    <t>2525 кв. м. - грунт;
287,1 кв. м. - асфальт</t>
  </si>
  <si>
    <t>Харьковская 98</t>
  </si>
  <si>
    <t>2821,6 кв. м.</t>
  </si>
  <si>
    <t>Харьковская 100</t>
  </si>
  <si>
    <t>2706,9 кв. м.</t>
  </si>
  <si>
    <t>4323 кв. м. - грунт;
352 кв. м. - асфальт</t>
  </si>
  <si>
    <t>Директор ООО "Партнер-1"</t>
  </si>
  <si>
    <t>____________________</t>
  </si>
  <si>
    <t>Главный бухгалтер ООО "Партнер-1"</t>
  </si>
  <si>
    <t>Экономист ООО "Партнер-1"</t>
  </si>
  <si>
    <t>Инженер по ремонту ООО "Партнер-1"</t>
  </si>
  <si>
    <t>Плановые затраты (руб.)</t>
  </si>
  <si>
    <t>Фактические затраты (руб.)</t>
  </si>
  <si>
    <t>Транспортные расходы при санитарной очистке территорий</t>
  </si>
  <si>
    <t>Техническое обслуживание внутридомового газового 
оборудования</t>
  </si>
  <si>
    <t>Рентабельность</t>
  </si>
  <si>
    <r>
      <rPr>
        <b/>
        <sz val="10"/>
        <color theme="1"/>
        <rFont val="Times New Roman"/>
        <family val="1"/>
        <charset val="204"/>
      </rPr>
      <t>Санитарное содержание лестничных клеток:</t>
    </r>
    <r>
      <rPr>
        <sz val="10"/>
        <color theme="1"/>
        <rFont val="Times New Roman"/>
        <family val="1"/>
        <charset val="204"/>
      </rPr>
      <t xml:space="preserve">
- оплата труда рабочих;
- затраты на материалы, инвентарь.</t>
    </r>
  </si>
  <si>
    <r>
      <rPr>
        <b/>
        <sz val="10"/>
        <color theme="1"/>
        <rFont val="Times New Roman"/>
        <family val="1"/>
        <charset val="204"/>
      </rPr>
      <t>Содержание аварийно-диспетчерской службы:</t>
    </r>
    <r>
      <rPr>
        <sz val="10"/>
        <color theme="1"/>
        <rFont val="Times New Roman"/>
        <family val="1"/>
        <charset val="204"/>
      </rPr>
      <t xml:space="preserve">
- оплата труда рабочих;
- затраты на инвентарь, спецодежду;
- транспортные расходы</t>
    </r>
  </si>
  <si>
    <t>3.Выполнено</t>
  </si>
  <si>
    <t>Итого</t>
  </si>
  <si>
    <r>
      <rPr>
        <b/>
        <sz val="10"/>
        <color theme="1"/>
        <rFont val="Times New Roman"/>
        <family val="1"/>
        <charset val="204"/>
      </rPr>
      <t>Санитарное содержание придомовой территории:</t>
    </r>
    <r>
      <rPr>
        <sz val="10"/>
        <color theme="1"/>
        <rFont val="Times New Roman"/>
        <family val="1"/>
        <charset val="204"/>
      </rPr>
      <t xml:space="preserve">
- оплата труда рабочих;
- затраты на материалы инвентарь;
- покос сорных трав</t>
    </r>
  </si>
  <si>
    <t xml:space="preserve">Текущий ремонт </t>
  </si>
  <si>
    <t>Обслуживание ОПУ тепловой энергии</t>
  </si>
  <si>
    <t>Т. В. Павлова</t>
  </si>
  <si>
    <t>Виды работ и затрат</t>
  </si>
  <si>
    <t>Н.Е. Горбатенко</t>
  </si>
  <si>
    <t>начислено СЖ 1 полугодие</t>
  </si>
  <si>
    <t>начислено СЖ 2 полугодие</t>
  </si>
  <si>
    <t>факт СЖ 1 полугодие</t>
  </si>
  <si>
    <t>факт СЖ 2 полугодие</t>
  </si>
  <si>
    <t>периодичность выполнения работ и услуг</t>
  </si>
  <si>
    <t>стоимость выполненной работы/оказанной услуги</t>
  </si>
  <si>
    <t>согласно договора  управления МКД</t>
  </si>
  <si>
    <t>руб.</t>
  </si>
  <si>
    <t xml:space="preserve">согласно договора  </t>
  </si>
  <si>
    <t xml:space="preserve">Вывоз ТБО </t>
  </si>
  <si>
    <t>постоянно</t>
  </si>
  <si>
    <t>начислено всего</t>
  </si>
  <si>
    <r>
      <rPr>
        <b/>
        <sz val="10"/>
        <color theme="1"/>
        <rFont val="Times New Roman"/>
        <family val="1"/>
        <charset val="204"/>
      </rPr>
      <t>Профилактические осмотры внутридомового инженерного
оборудования и конструктивных элементов МКД:</t>
    </r>
    <r>
      <rPr>
        <sz val="10"/>
        <color theme="1"/>
        <rFont val="Times New Roman"/>
        <family val="1"/>
        <charset val="204"/>
      </rPr>
      <t xml:space="preserve">
- затраты на весенние и осенние проверки готовности МКД к эксплуатации;
- затраты на внеочередные осмотры (после ливней, ураганных ветров, снегопадов и других явлений стихийного характера; в случае аварий на внешних коммуникациях и др.);
- ведение документов по учету технического состояния зданий</t>
    </r>
  </si>
  <si>
    <t>3187.2 кв. м</t>
  </si>
  <si>
    <t>1850.6 кв. м.</t>
  </si>
  <si>
    <t>1995,6 кв. м.</t>
  </si>
  <si>
    <t>1471,2 кв. м</t>
  </si>
  <si>
    <t>1495,1 кв. м</t>
  </si>
  <si>
    <t>2349,1 кв. м</t>
  </si>
  <si>
    <t>разная площадь у ИВЦ 2330,3</t>
  </si>
  <si>
    <t>1511,7 кв. м.</t>
  </si>
  <si>
    <t>1389.1 кв. м</t>
  </si>
  <si>
    <t>единица измерения работы/       услуги</t>
  </si>
  <si>
    <t>2567,1 кв. м</t>
  </si>
  <si>
    <t>2065.0 кв. м.</t>
  </si>
  <si>
    <t>1993,5 кв. м.</t>
  </si>
  <si>
    <t>1413,4 кв. м.</t>
  </si>
  <si>
    <t>Водоснабжение, водоотведение</t>
  </si>
  <si>
    <t>Электроэнергия</t>
  </si>
  <si>
    <t>2622,7 кв. м.</t>
  </si>
  <si>
    <t>единица измерения работы/              услуги</t>
  </si>
  <si>
    <t>единица измерения работы/          услуги</t>
  </si>
  <si>
    <r>
      <rPr>
        <b/>
        <sz val="10"/>
        <color theme="1"/>
        <rFont val="Times New Roman"/>
        <family val="1"/>
        <charset val="204"/>
      </rPr>
      <t>Санитарное содержание придомовой территории:</t>
    </r>
    <r>
      <rPr>
        <sz val="10"/>
        <color theme="1"/>
        <rFont val="Times New Roman"/>
        <family val="1"/>
        <charset val="204"/>
      </rPr>
      <t xml:space="preserve">
- оплата труда рабочих;
- затраты на материалы, инвентарь;
- покос сорных трав</t>
    </r>
  </si>
  <si>
    <t>единица измерения работы/           услуги</t>
  </si>
  <si>
    <t>единица измерения работы/        услуги</t>
  </si>
  <si>
    <t>единица измерения работы/     услуги</t>
  </si>
  <si>
    <t>Приложение № 1</t>
  </si>
  <si>
    <t>плюс встроенные</t>
  </si>
  <si>
    <t>плюс встроенные помещения</t>
  </si>
  <si>
    <t>Приложение № 4</t>
  </si>
  <si>
    <t>к протоколу №____общего собрания собственников</t>
  </si>
  <si>
    <t>помещения МКД №_____ по ул. ______________________________г. Новошахтинска</t>
  </si>
  <si>
    <t>Ежегодный отчет Управляющей организации ООО "Партнер-1" о выполнении Договора о деятельности за отчетный период с 01.01.2016 г. по 31.12.2016г.</t>
  </si>
  <si>
    <t>Л.В. Кузнецова</t>
  </si>
  <si>
    <t>Отчет по затратам на управление, содержание и ремонт общего имущества МКД за 2016 год</t>
  </si>
  <si>
    <t>Отчет об оказанных услугах и выполненных работах по содержанию и текущему ремонту общего имущества в МКД за 2016 год</t>
  </si>
  <si>
    <r>
      <rPr>
        <b/>
        <sz val="10"/>
        <color theme="1"/>
        <rFont val="Times New Roman"/>
        <family val="1"/>
        <charset val="204"/>
      </rPr>
      <t>Общеэксплуатационные расходы:</t>
    </r>
    <r>
      <rPr>
        <sz val="10"/>
        <color theme="1"/>
        <rFont val="Times New Roman"/>
        <family val="1"/>
        <charset val="204"/>
      </rPr>
      <t xml:space="preserve">
- составление сметных расчетов;
- делопроизводство и хранение документации;
- правовая работа, взаимодействие с местными органами власти;
- планирование работ по содержанию и ремонту МКД;
- ведение электронной базы данных;
- расчет размера платы за жилищные услуги;
- анализ финансово-хозяйственной деятельности, составление отчета о выполнении договора оказания услуг;
- обеспечение бухгалтерского и налогового учета;
- информационно-разъяснительная работа с собственниками            -амортизация;                                                                                     - транспортные расходы;                                                                   - затраты на канц. товары, телефонную связь, на орг. технику;                  - услуги банка, статистики;                                                                  - услуги информационно-вычислительного центра.</t>
    </r>
  </si>
  <si>
    <t>ст-ть на 1 кв. м общей жилой  площади (руб. в мес.) с 01.10. 2016</t>
  </si>
  <si>
    <t>ст-ть на 1 кв. м общей жилой  площади (руб. в мес.) с 01.01. 2016</t>
  </si>
  <si>
    <t>от _______________________2017 г.</t>
  </si>
  <si>
    <t>ст-ть на 1 кв. м общей жилой  площади (руб. в мес.) I полугодие 2016</t>
  </si>
  <si>
    <t>ст-ть на 1 кв. м общей жилой  площади (руб. в мес.) II полугодие 2016</t>
  </si>
  <si>
    <t>Разница                       (+) экономия, (-) долг</t>
  </si>
  <si>
    <t>пеня</t>
  </si>
  <si>
    <t>доп. Услуги</t>
  </si>
  <si>
    <t>2580.1 кв. м</t>
  </si>
  <si>
    <t>2569.3 кв. м</t>
  </si>
  <si>
    <r>
      <t>4. Остаток на конец отчетного периода</t>
    </r>
    <r>
      <rPr>
        <sz val="8"/>
        <color theme="1"/>
        <rFont val="Times New Roman"/>
        <family val="1"/>
        <charset val="204"/>
      </rPr>
      <t xml:space="preserve"> ("Оплачено" минус "Выполнено")
("-" - перевыполнено работ; "+" - недовыполнено работ)</t>
    </r>
  </si>
  <si>
    <t xml:space="preserve"> тариф не повышался</t>
  </si>
  <si>
    <t>1806.1 кв. м</t>
  </si>
  <si>
    <t>1492.1 кв. м</t>
  </si>
  <si>
    <t>1476,3 кв. м</t>
  </si>
  <si>
    <t>2551.9 кв. м</t>
  </si>
  <si>
    <t>1479,1 кв. м</t>
  </si>
  <si>
    <t>2357,2 кв. м</t>
  </si>
  <si>
    <t>встроенные</t>
  </si>
  <si>
    <t>161,6 кв. м</t>
  </si>
  <si>
    <t>сод.жилья</t>
  </si>
  <si>
    <t>тек. ремонт</t>
  </si>
  <si>
    <t>42,5 кв. м.</t>
  </si>
  <si>
    <t>согласно договора  оказания услуг по содержанию и выполнению работ по ремонту общего имущества МКД</t>
  </si>
  <si>
    <t>круглосуточно</t>
  </si>
  <si>
    <r>
      <rPr>
        <b/>
        <sz val="10"/>
        <color theme="1"/>
        <rFont val="Times New Roman"/>
        <family val="1"/>
        <charset val="204"/>
      </rPr>
      <t>Общеэксплуатационные расходы:</t>
    </r>
    <r>
      <rPr>
        <sz val="10"/>
        <color theme="1"/>
        <rFont val="Times New Roman"/>
        <family val="1"/>
        <charset val="204"/>
      </rPr>
      <t xml:space="preserve">
- составление сметных расчетов;
- делопроизводство и хранение документации;
- правовая работа, взаимодействие с местными органами власти;
- планирование работ по содержанию и ремонту МКД;
- ведение электронной базы данных;
- расчет размера платы за жилищные услуги;
- анализ финансово-хозяйственной деятельности, составление отчета о выполнении договора оказания услуг;
- обеспечение бухгалтерского и налогового учета;                            - информационно-разъяснительная работа с собственниками            -амортизация;                                                                                     - транспортные расходы;                                                                   - затраты на канц. товары, телефонную связь, на орг. технику;                  - услуги банка, статистики;                                                                  - услуги информационно-вычислительного центра.</t>
    </r>
  </si>
  <si>
    <r>
      <rPr>
        <b/>
        <sz val="10"/>
        <color theme="1"/>
        <rFont val="Times New Roman"/>
        <family val="1"/>
        <charset val="204"/>
      </rPr>
      <t>Общеэксплуатационные расходы:</t>
    </r>
    <r>
      <rPr>
        <sz val="10"/>
        <color theme="1"/>
        <rFont val="Times New Roman"/>
        <family val="1"/>
        <charset val="204"/>
      </rPr>
      <t xml:space="preserve">
- составление сметных расчетов;
- делопроизводство и хранение документации;
- правовая работа, взаимодействие с местными органами власти;
- планирование работ по содержанию и ремонту МКД;
- ведение электронной базы данных;
- расчет размера платы за жилищные услуги;
- анализ финансово-хозяйственной деятельности, составление отчета о выполнении договора оказания услуг;
- обеспечение бухгалтерского и налогового учета;
- информационно-разъяснительная работа с собственниками            -амортизация;                                                                                     - транспортные расходы;                                                                            -затраты на канц. товары, телефонную связь, на орг. технику;                  - услуги банка, статистики;                                                                  - услуги информационно-вычислительного центра.</t>
    </r>
  </si>
  <si>
    <r>
      <rPr>
        <b/>
        <sz val="10"/>
        <color theme="1"/>
        <rFont val="Times New Roman"/>
        <family val="1"/>
        <charset val="204"/>
      </rPr>
      <t>Общеэксплуатационные расходы:</t>
    </r>
    <r>
      <rPr>
        <sz val="10"/>
        <color theme="1"/>
        <rFont val="Times New Roman"/>
        <family val="1"/>
        <charset val="204"/>
      </rPr>
      <t xml:space="preserve">
- составление сметных расчетов;
- делопроизводство и хранение документации;
- правовая работа, взаимодействие с местными органами власти;
- планирование работ по содержанию и ремонту МКД;
- ведение электронной базы данных;
- расчет размера платы за жилищные услуги;
- анализ финансово-хозяйственной деятельности, составление отчета о выполнении договора оказания услуг;
- обеспечение бухгалтерского и налогового учета;
- информационно-разъяснительная работа с собственниками                     -амортизация;                                                                                            - транспортные расходы;                                                                   - затраты на канц. товары, телефонную связь, на орг. технику;                  - услуги банка, статистики;                                                                  - услуги информационно-вычислительного центра.</t>
    </r>
  </si>
  <si>
    <r>
      <rPr>
        <b/>
        <sz val="10"/>
        <rFont val="Times New Roman"/>
        <family val="1"/>
        <charset val="204"/>
      </rPr>
      <t>Санитарное содержание лестничных клеток:</t>
    </r>
    <r>
      <rPr>
        <sz val="10"/>
        <rFont val="Times New Roman"/>
        <family val="1"/>
        <charset val="204"/>
      </rPr>
      <t xml:space="preserve">
- оплата труда рабочих;
- затраты на материалы, инвентарь.</t>
    </r>
  </si>
  <si>
    <r>
      <rPr>
        <b/>
        <sz val="10"/>
        <rFont val="Times New Roman"/>
        <family val="1"/>
        <charset val="204"/>
      </rPr>
      <t>Санитарное содержание придомовой территории:</t>
    </r>
    <r>
      <rPr>
        <sz val="10"/>
        <rFont val="Times New Roman"/>
        <family val="1"/>
        <charset val="204"/>
      </rPr>
      <t xml:space="preserve">
- оплата труда рабочих;
- затраты на материалы инвентарь;
- покос сорных трав</t>
    </r>
  </si>
  <si>
    <r>
      <rPr>
        <b/>
        <sz val="10"/>
        <rFont val="Times New Roman"/>
        <family val="1"/>
        <charset val="204"/>
      </rPr>
      <t>Содержание аварийно-диспетчерской службы:</t>
    </r>
    <r>
      <rPr>
        <sz val="10"/>
        <rFont val="Times New Roman"/>
        <family val="1"/>
        <charset val="204"/>
      </rPr>
      <t xml:space="preserve">
- оплата труда рабочих;
- затраты на инвентарь, спецодежду;
- транспортные расходы</t>
    </r>
  </si>
  <si>
    <r>
      <rPr>
        <b/>
        <sz val="10"/>
        <rFont val="Times New Roman"/>
        <family val="1"/>
        <charset val="204"/>
      </rPr>
      <t>Общеэксплуатационные расходы:</t>
    </r>
    <r>
      <rPr>
        <sz val="10"/>
        <rFont val="Times New Roman"/>
        <family val="1"/>
        <charset val="204"/>
      </rPr>
      <t xml:space="preserve">
- составление сметных расчетов;
- делопроизводство и хранение документации;
- правовая работа, взаимодействие с местными органами власти;
- планирование работ по содержанию и ремонту МКД;
- ведение электронной базы данных;
- расчет размера платы за жилищные услуги;
- анализ финансово-хозяйственной деятельности, составление отчета о выполнении договора оказания услуг;
- обеспечение бухгалтерского и налогового учета;
- информационно-разъяснительная работа с собственниками            -амортизация;                                                                                     - транспортные расходы;                                                                   - затраты на канц. товары, телефонную связь, на орг. технику;                  - услуги банка, статистики;                                                                  - услуги информационно-вычислительного центра.</t>
    </r>
  </si>
  <si>
    <r>
      <rPr>
        <b/>
        <sz val="10"/>
        <rFont val="Times New Roman"/>
        <family val="1"/>
        <charset val="204"/>
      </rPr>
      <t>Профилактические осмотры внутридомового инженерного
оборудования и конструктивных элементов МКД:</t>
    </r>
    <r>
      <rPr>
        <sz val="10"/>
        <rFont val="Times New Roman"/>
        <family val="1"/>
        <charset val="204"/>
      </rPr>
      <t xml:space="preserve">
- затраты на весенние и осенние проверки готовности МКД к эксплуатации;
- затраты на внеочередные осмотры (после ливней, ураганных ветров, снегопадов и других явлений стихийного характера; в случае аварий на внешних коммуникациях и др.);
- ведение документов по учету технического состояния зданий</t>
    </r>
  </si>
  <si>
    <r>
      <t>4. Остаток на конец отчетного периода</t>
    </r>
    <r>
      <rPr>
        <sz val="8"/>
        <rFont val="Times New Roman"/>
        <family val="1"/>
        <charset val="204"/>
      </rPr>
      <t xml:space="preserve"> ("Оплачено" минус "Выполнено")
("-" - перевыполнено работ; "+" - недовыполнено работ)</t>
    </r>
  </si>
  <si>
    <t>Ежегодный отчет  ООО "Партнер-1" о выполнении Договора о деятельности за отчетный период с 01.01.2016 г. по 31.12.2016г.</t>
  </si>
  <si>
    <t xml:space="preserve">Валка деревьев </t>
  </si>
  <si>
    <r>
      <t xml:space="preserve">Текущий ремонт 
общего имущества 
МКД ( </t>
    </r>
    <r>
      <rPr>
        <sz val="8"/>
        <color theme="1"/>
        <rFont val="Times New Roman"/>
        <family val="1"/>
        <charset val="204"/>
      </rPr>
      <t>в т.ч. Валка деревьев</t>
    </r>
    <r>
      <rPr>
        <sz val="10"/>
        <color theme="1"/>
        <rFont val="Times New Roman"/>
        <family val="1"/>
        <charset val="204"/>
      </rPr>
      <t>) (руб.)</t>
    </r>
  </si>
  <si>
    <t>по заявкам</t>
  </si>
  <si>
    <t>Валка деревьев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</si>
</sst>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3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u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u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i/>
      <u/>
      <sz val="14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i/>
      <sz val="14"/>
      <color theme="0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b/>
      <sz val="8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38">
    <xf numFmtId="0" fontId="0" fillId="0" borderId="0" xfId="0"/>
    <xf numFmtId="2" fontId="0" fillId="0" borderId="0" xfId="0" applyNumberFormat="1"/>
    <xf numFmtId="0" fontId="2" fillId="0" borderId="0" xfId="0" applyFont="1" applyFill="1"/>
    <xf numFmtId="0" fontId="4" fillId="0" borderId="0" xfId="0" applyFont="1" applyFill="1"/>
    <xf numFmtId="0" fontId="2" fillId="0" borderId="0" xfId="0" applyFont="1" applyFill="1" applyAlignment="1">
      <alignment horizontal="center" vertical="center"/>
    </xf>
    <xf numFmtId="2" fontId="2" fillId="0" borderId="0" xfId="0" applyNumberFormat="1" applyFont="1" applyFill="1"/>
    <xf numFmtId="0" fontId="5" fillId="0" borderId="0" xfId="0" applyFont="1" applyFill="1"/>
    <xf numFmtId="0" fontId="2" fillId="0" borderId="0" xfId="0" applyFont="1" applyFill="1" applyAlignment="1">
      <alignment horizontal="right"/>
    </xf>
    <xf numFmtId="0" fontId="2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wrapText="1"/>
    </xf>
    <xf numFmtId="0" fontId="7" fillId="0" borderId="0" xfId="0" applyFont="1" applyFill="1" applyAlignment="1">
      <alignment wrapText="1"/>
    </xf>
    <xf numFmtId="2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wrapText="1"/>
    </xf>
    <xf numFmtId="2" fontId="2" fillId="0" borderId="0" xfId="0" applyNumberFormat="1" applyFont="1" applyFill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vertical="top" wrapText="1"/>
    </xf>
    <xf numFmtId="0" fontId="9" fillId="0" borderId="28" xfId="0" applyFont="1" applyFill="1" applyBorder="1" applyAlignment="1">
      <alignment horizontal="left" vertical="center" wrapText="1"/>
    </xf>
    <xf numFmtId="0" fontId="9" fillId="0" borderId="28" xfId="0" applyFont="1" applyFill="1" applyBorder="1" applyAlignment="1">
      <alignment horizontal="center" vertical="center" wrapText="1"/>
    </xf>
    <xf numFmtId="2" fontId="5" fillId="0" borderId="33" xfId="0" applyNumberFormat="1" applyFont="1" applyFill="1" applyBorder="1" applyAlignment="1">
      <alignment horizontal="center" vertical="center"/>
    </xf>
    <xf numFmtId="2" fontId="5" fillId="0" borderId="8" xfId="0" applyNumberFormat="1" applyFont="1" applyFill="1" applyBorder="1" applyAlignment="1">
      <alignment horizontal="center" vertical="center" wrapText="1"/>
    </xf>
    <xf numFmtId="2" fontId="5" fillId="0" borderId="32" xfId="0" applyNumberFormat="1" applyFont="1" applyFill="1" applyBorder="1" applyAlignment="1">
      <alignment horizontal="center" vertical="center" wrapText="1"/>
    </xf>
    <xf numFmtId="2" fontId="3" fillId="0" borderId="25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top" wrapText="1"/>
    </xf>
    <xf numFmtId="2" fontId="5" fillId="0" borderId="16" xfId="0" applyNumberFormat="1" applyFont="1" applyFill="1" applyBorder="1" applyAlignment="1">
      <alignment horizontal="center" vertical="center"/>
    </xf>
    <xf numFmtId="2" fontId="5" fillId="0" borderId="1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3" fillId="0" borderId="8" xfId="0" applyFont="1" applyFill="1" applyBorder="1" applyAlignment="1">
      <alignment vertical="top" wrapText="1"/>
    </xf>
    <xf numFmtId="0" fontId="2" fillId="0" borderId="0" xfId="0" applyFont="1" applyFill="1" applyBorder="1"/>
    <xf numFmtId="0" fontId="9" fillId="0" borderId="9" xfId="0" applyFont="1" applyFill="1" applyBorder="1" applyAlignment="1">
      <alignment horizontal="left" wrapText="1"/>
    </xf>
    <xf numFmtId="0" fontId="3" fillId="0" borderId="49" xfId="0" applyFont="1" applyFill="1" applyBorder="1"/>
    <xf numFmtId="0" fontId="9" fillId="0" borderId="45" xfId="0" applyFont="1" applyFill="1" applyBorder="1" applyAlignment="1">
      <alignment horizontal="left"/>
    </xf>
    <xf numFmtId="0" fontId="9" fillId="0" borderId="15" xfId="0" applyFont="1" applyFill="1" applyBorder="1" applyAlignment="1">
      <alignment horizontal="center" vertical="center" wrapText="1"/>
    </xf>
    <xf numFmtId="2" fontId="5" fillId="0" borderId="46" xfId="0" applyNumberFormat="1" applyFont="1" applyFill="1" applyBorder="1" applyAlignment="1">
      <alignment horizontal="center" vertical="center"/>
    </xf>
    <xf numFmtId="2" fontId="5" fillId="0" borderId="49" xfId="0" applyNumberFormat="1" applyFont="1" applyFill="1" applyBorder="1" applyAlignment="1">
      <alignment horizontal="center" vertical="center" wrapText="1"/>
    </xf>
    <xf numFmtId="2" fontId="5" fillId="0" borderId="27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3" fillId="0" borderId="2" xfId="0" applyFont="1" applyFill="1" applyBorder="1"/>
    <xf numFmtId="2" fontId="3" fillId="0" borderId="3" xfId="0" applyNumberFormat="1" applyFont="1" applyFill="1" applyBorder="1" applyAlignment="1">
      <alignment horizontal="center" vertical="center"/>
    </xf>
    <xf numFmtId="2" fontId="3" fillId="0" borderId="22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48" xfId="0" applyNumberFormat="1" applyFont="1" applyFill="1" applyBorder="1" applyAlignment="1">
      <alignment horizontal="center" vertical="center"/>
    </xf>
    <xf numFmtId="2" fontId="3" fillId="0" borderId="23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8" xfId="0" applyFont="1" applyFill="1" applyBorder="1"/>
    <xf numFmtId="0" fontId="5" fillId="0" borderId="9" xfId="0" applyFont="1" applyFill="1" applyBorder="1"/>
    <xf numFmtId="0" fontId="5" fillId="0" borderId="0" xfId="0" applyFont="1" applyFill="1" applyBorder="1"/>
    <xf numFmtId="0" fontId="5" fillId="0" borderId="24" xfId="0" applyFont="1" applyFill="1" applyBorder="1"/>
    <xf numFmtId="0" fontId="5" fillId="0" borderId="15" xfId="0" applyFont="1" applyFill="1" applyBorder="1"/>
    <xf numFmtId="0" fontId="5" fillId="0" borderId="1" xfId="0" applyFont="1" applyFill="1" applyBorder="1" applyAlignment="1">
      <alignment wrapText="1"/>
    </xf>
    <xf numFmtId="0" fontId="5" fillId="0" borderId="2" xfId="0" applyFont="1" applyFill="1" applyBorder="1" applyAlignment="1">
      <alignment wrapText="1"/>
    </xf>
    <xf numFmtId="0" fontId="3" fillId="0" borderId="0" xfId="0" applyFont="1" applyFill="1" applyAlignment="1"/>
    <xf numFmtId="0" fontId="3" fillId="0" borderId="0" xfId="0" applyFont="1" applyFill="1" applyAlignment="1">
      <alignment horizontal="left" vertical="center"/>
    </xf>
    <xf numFmtId="0" fontId="5" fillId="0" borderId="0" xfId="0" applyFont="1" applyFill="1" applyAlignment="1"/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2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wrapText="1"/>
    </xf>
    <xf numFmtId="2" fontId="5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right"/>
    </xf>
    <xf numFmtId="165" fontId="2" fillId="0" borderId="0" xfId="0" applyNumberFormat="1" applyFont="1" applyFill="1" applyAlignment="1">
      <alignment horizontal="center" vertical="center"/>
    </xf>
    <xf numFmtId="165" fontId="2" fillId="0" borderId="0" xfId="0" applyNumberFormat="1" applyFont="1" applyFill="1" applyAlignment="1">
      <alignment horizontal="center" vertical="center" wrapText="1"/>
    </xf>
    <xf numFmtId="0" fontId="3" fillId="0" borderId="49" xfId="0" applyFont="1" applyFill="1" applyBorder="1" applyAlignment="1">
      <alignment vertical="top" wrapText="1"/>
    </xf>
    <xf numFmtId="0" fontId="3" fillId="0" borderId="0" xfId="0" applyFont="1" applyFill="1" applyAlignment="1">
      <alignment horizontal="left"/>
    </xf>
    <xf numFmtId="165" fontId="5" fillId="0" borderId="0" xfId="0" applyNumberFormat="1" applyFont="1" applyFill="1" applyAlignment="1">
      <alignment horizontal="center" vertical="center"/>
    </xf>
    <xf numFmtId="165" fontId="5" fillId="0" borderId="0" xfId="0" applyNumberFormat="1" applyFont="1" applyFill="1" applyAlignment="1">
      <alignment horizontal="center" vertical="center" wrapText="1"/>
    </xf>
    <xf numFmtId="2" fontId="5" fillId="0" borderId="5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8" fillId="0" borderId="0" xfId="0" applyFont="1" applyFill="1" applyAlignment="1">
      <alignment wrapText="1"/>
    </xf>
    <xf numFmtId="0" fontId="8" fillId="0" borderId="0" xfId="0" applyFont="1" applyFill="1" applyAlignment="1">
      <alignment horizontal="center" wrapText="1"/>
    </xf>
    <xf numFmtId="2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12" fillId="0" borderId="0" xfId="0" applyFont="1" applyFill="1"/>
    <xf numFmtId="0" fontId="13" fillId="0" borderId="0" xfId="0" applyFont="1" applyFill="1" applyAlignment="1">
      <alignment horizontal="right"/>
    </xf>
    <xf numFmtId="0" fontId="14" fillId="0" borderId="0" xfId="0" applyFont="1" applyFill="1" applyAlignment="1">
      <alignment horizontal="center" wrapText="1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wrapText="1"/>
    </xf>
    <xf numFmtId="0" fontId="12" fillId="0" borderId="0" xfId="0" applyFont="1" applyFill="1" applyAlignment="1">
      <alignment horizontal="center" vertical="center" wrapText="1"/>
    </xf>
    <xf numFmtId="2" fontId="12" fillId="0" borderId="0" xfId="0" applyNumberFormat="1" applyFont="1" applyFill="1"/>
    <xf numFmtId="0" fontId="18" fillId="0" borderId="12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13" fillId="0" borderId="31" xfId="0" applyFont="1" applyFill="1" applyBorder="1" applyAlignment="1">
      <alignment vertical="top" wrapText="1"/>
    </xf>
    <xf numFmtId="0" fontId="19" fillId="0" borderId="28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center" vertical="center" wrapText="1"/>
    </xf>
    <xf numFmtId="2" fontId="13" fillId="0" borderId="33" xfId="0" applyNumberFormat="1" applyFont="1" applyFill="1" applyBorder="1" applyAlignment="1">
      <alignment horizontal="center" vertical="center"/>
    </xf>
    <xf numFmtId="2" fontId="13" fillId="0" borderId="8" xfId="0" applyNumberFormat="1" applyFont="1" applyFill="1" applyBorder="1" applyAlignment="1">
      <alignment horizontal="center" vertical="center" wrapText="1"/>
    </xf>
    <xf numFmtId="2" fontId="13" fillId="0" borderId="32" xfId="0" applyNumberFormat="1" applyFont="1" applyFill="1" applyBorder="1" applyAlignment="1">
      <alignment horizontal="center" vertical="center" wrapText="1"/>
    </xf>
    <xf numFmtId="2" fontId="17" fillId="0" borderId="25" xfId="0" applyNumberFormat="1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vertical="top" wrapText="1"/>
    </xf>
    <xf numFmtId="2" fontId="13" fillId="0" borderId="16" xfId="0" applyNumberFormat="1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vertical="top" wrapText="1"/>
    </xf>
    <xf numFmtId="0" fontId="20" fillId="0" borderId="9" xfId="0" applyFont="1" applyFill="1" applyBorder="1" applyAlignment="1">
      <alignment horizontal="left" wrapText="1"/>
    </xf>
    <xf numFmtId="0" fontId="20" fillId="0" borderId="28" xfId="0" applyFont="1" applyFill="1" applyBorder="1" applyAlignment="1">
      <alignment horizontal="left" vertical="center" wrapText="1"/>
    </xf>
    <xf numFmtId="2" fontId="13" fillId="0" borderId="11" xfId="0" applyNumberFormat="1" applyFont="1" applyFill="1" applyBorder="1" applyAlignment="1">
      <alignment horizontal="center" vertical="center" wrapText="1"/>
    </xf>
    <xf numFmtId="0" fontId="17" fillId="0" borderId="49" xfId="0" applyFont="1" applyFill="1" applyBorder="1" applyAlignment="1">
      <alignment vertical="top" wrapText="1"/>
    </xf>
    <xf numFmtId="0" fontId="20" fillId="0" borderId="45" xfId="0" applyFont="1" applyFill="1" applyBorder="1" applyAlignment="1">
      <alignment horizontal="left"/>
    </xf>
    <xf numFmtId="0" fontId="20" fillId="0" borderId="15" xfId="0" applyFont="1" applyFill="1" applyBorder="1" applyAlignment="1">
      <alignment horizontal="center" vertical="center" wrapText="1"/>
    </xf>
    <xf numFmtId="2" fontId="13" fillId="0" borderId="46" xfId="0" applyNumberFormat="1" applyFont="1" applyFill="1" applyBorder="1" applyAlignment="1">
      <alignment horizontal="center" vertical="center"/>
    </xf>
    <xf numFmtId="2" fontId="13" fillId="0" borderId="49" xfId="0" applyNumberFormat="1" applyFont="1" applyFill="1" applyBorder="1" applyAlignment="1">
      <alignment horizontal="center" vertical="center" wrapText="1"/>
    </xf>
    <xf numFmtId="2" fontId="13" fillId="0" borderId="50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/>
    <xf numFmtId="0" fontId="17" fillId="0" borderId="2" xfId="0" applyFont="1" applyFill="1" applyBorder="1"/>
    <xf numFmtId="2" fontId="17" fillId="0" borderId="3" xfId="0" applyNumberFormat="1" applyFont="1" applyFill="1" applyBorder="1" applyAlignment="1">
      <alignment horizontal="center" vertical="center"/>
    </xf>
    <xf numFmtId="2" fontId="17" fillId="0" borderId="22" xfId="0" applyNumberFormat="1" applyFont="1" applyFill="1" applyBorder="1" applyAlignment="1">
      <alignment horizontal="center" vertical="center"/>
    </xf>
    <xf numFmtId="2" fontId="17" fillId="0" borderId="1" xfId="0" applyNumberFormat="1" applyFont="1" applyFill="1" applyBorder="1" applyAlignment="1">
      <alignment horizontal="center" vertical="center" wrapText="1"/>
    </xf>
    <xf numFmtId="2" fontId="17" fillId="0" borderId="48" xfId="0" applyNumberFormat="1" applyFont="1" applyFill="1" applyBorder="1" applyAlignment="1">
      <alignment horizontal="center" vertical="center"/>
    </xf>
    <xf numFmtId="2" fontId="17" fillId="0" borderId="23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8" xfId="0" applyFont="1" applyFill="1" applyBorder="1"/>
    <xf numFmtId="0" fontId="13" fillId="0" borderId="9" xfId="0" applyFont="1" applyFill="1" applyBorder="1"/>
    <xf numFmtId="0" fontId="13" fillId="0" borderId="0" xfId="0" applyFont="1" applyFill="1"/>
    <xf numFmtId="0" fontId="13" fillId="0" borderId="24" xfId="0" applyFont="1" applyFill="1" applyBorder="1"/>
    <xf numFmtId="0" fontId="13" fillId="0" borderId="15" xfId="0" applyFont="1" applyFill="1" applyBorder="1"/>
    <xf numFmtId="0" fontId="13" fillId="0" borderId="1" xfId="0" applyFont="1" applyFill="1" applyBorder="1" applyAlignment="1">
      <alignment wrapText="1"/>
    </xf>
    <xf numFmtId="0" fontId="13" fillId="0" borderId="2" xfId="0" applyFont="1" applyFill="1" applyBorder="1" applyAlignment="1">
      <alignment wrapText="1"/>
    </xf>
    <xf numFmtId="0" fontId="17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13" fillId="0" borderId="0" xfId="0" applyFont="1" applyFill="1" applyAlignment="1">
      <alignment horizontal="center"/>
    </xf>
    <xf numFmtId="0" fontId="13" fillId="0" borderId="0" xfId="0" applyFont="1" applyFill="1" applyAlignment="1"/>
    <xf numFmtId="0" fontId="13" fillId="0" borderId="0" xfId="0" applyFont="1" applyFill="1" applyAlignment="1">
      <alignment horizontal="center" vertical="center"/>
    </xf>
    <xf numFmtId="0" fontId="12" fillId="0" borderId="0" xfId="0" applyFont="1" applyFill="1" applyAlignment="1"/>
    <xf numFmtId="0" fontId="19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13" fillId="0" borderId="0" xfId="0" applyFont="1" applyFill="1" applyAlignment="1">
      <alignment wrapText="1"/>
    </xf>
    <xf numFmtId="0" fontId="13" fillId="0" borderId="0" xfId="0" applyFont="1" applyFill="1" applyAlignment="1">
      <alignment horizontal="center" vertical="center" wrapText="1"/>
    </xf>
    <xf numFmtId="0" fontId="17" fillId="0" borderId="0" xfId="0" applyFont="1" applyFill="1" applyAlignment="1"/>
    <xf numFmtId="164" fontId="2" fillId="0" borderId="0" xfId="0" applyNumberFormat="1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 wrapText="1"/>
    </xf>
    <xf numFmtId="0" fontId="9" fillId="0" borderId="9" xfId="0" applyFont="1" applyFill="1" applyBorder="1" applyAlignment="1">
      <alignment horizontal="left"/>
    </xf>
    <xf numFmtId="0" fontId="3" fillId="0" borderId="12" xfId="0" applyFont="1" applyFill="1" applyBorder="1"/>
    <xf numFmtId="0" fontId="3" fillId="0" borderId="13" xfId="0" applyFont="1" applyFill="1" applyBorder="1"/>
    <xf numFmtId="2" fontId="3" fillId="0" borderId="14" xfId="0" applyNumberFormat="1" applyFont="1" applyFill="1" applyBorder="1" applyAlignment="1">
      <alignment horizontal="center" vertical="center"/>
    </xf>
    <xf numFmtId="2" fontId="3" fillId="0" borderId="17" xfId="0" applyNumberFormat="1" applyFont="1" applyFill="1" applyBorder="1" applyAlignment="1">
      <alignment horizontal="center" vertical="center"/>
    </xf>
    <xf numFmtId="2" fontId="3" fillId="0" borderId="12" xfId="0" applyNumberFormat="1" applyFont="1" applyFill="1" applyBorder="1" applyAlignment="1">
      <alignment horizontal="center" vertical="center" wrapText="1"/>
    </xf>
    <xf numFmtId="2" fontId="3" fillId="0" borderId="18" xfId="0" applyNumberFormat="1" applyFont="1" applyFill="1" applyBorder="1" applyAlignment="1">
      <alignment horizontal="center" vertical="center"/>
    </xf>
    <xf numFmtId="2" fontId="3" fillId="0" borderId="21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5" fillId="0" borderId="6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2" fontId="5" fillId="0" borderId="10" xfId="0" applyNumberFormat="1" applyFont="1" applyFill="1" applyBorder="1" applyAlignment="1">
      <alignment horizontal="center" vertical="center"/>
    </xf>
    <xf numFmtId="2" fontId="5" fillId="0" borderId="11" xfId="0" applyNumberFormat="1" applyFont="1" applyFill="1" applyBorder="1" applyAlignment="1">
      <alignment horizontal="center" vertical="center"/>
    </xf>
    <xf numFmtId="2" fontId="5" fillId="0" borderId="47" xfId="0" applyNumberFormat="1" applyFont="1" applyFill="1" applyBorder="1" applyAlignment="1">
      <alignment horizontal="center" vertical="center"/>
    </xf>
    <xf numFmtId="2" fontId="5" fillId="0" borderId="27" xfId="0" applyNumberFormat="1" applyFont="1" applyFill="1" applyBorder="1" applyAlignment="1">
      <alignment horizontal="center" vertical="center"/>
    </xf>
    <xf numFmtId="2" fontId="5" fillId="0" borderId="3" xfId="0" applyNumberFormat="1" applyFont="1" applyFill="1" applyBorder="1" applyAlignment="1">
      <alignment horizontal="center" wrapText="1"/>
    </xf>
    <xf numFmtId="2" fontId="5" fillId="0" borderId="48" xfId="0" applyNumberFormat="1" applyFont="1" applyFill="1" applyBorder="1" applyAlignment="1">
      <alignment horizontal="center" wrapText="1"/>
    </xf>
    <xf numFmtId="0" fontId="3" fillId="0" borderId="30" xfId="0" applyFont="1" applyFill="1" applyBorder="1" applyAlignment="1"/>
    <xf numFmtId="0" fontId="5" fillId="0" borderId="0" xfId="0" applyFont="1" applyFill="1" applyAlignment="1">
      <alignment horizontal="right"/>
    </xf>
    <xf numFmtId="2" fontId="5" fillId="0" borderId="16" xfId="0" applyNumberFormat="1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 shrinkToFit="1"/>
    </xf>
    <xf numFmtId="0" fontId="10" fillId="0" borderId="7" xfId="0" applyFont="1" applyFill="1" applyBorder="1" applyAlignment="1">
      <alignment horizontal="center" vertical="center" wrapText="1" shrinkToFit="1"/>
    </xf>
    <xf numFmtId="2" fontId="10" fillId="0" borderId="6" xfId="0" applyNumberFormat="1" applyFont="1" applyFill="1" applyBorder="1" applyAlignment="1">
      <alignment horizontal="center" vertical="center" wrapText="1"/>
    </xf>
    <xf numFmtId="2" fontId="10" fillId="0" borderId="14" xfId="0" applyNumberFormat="1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2" fontId="5" fillId="0" borderId="20" xfId="0" applyNumberFormat="1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2" fontId="5" fillId="0" borderId="19" xfId="0" applyNumberFormat="1" applyFont="1" applyFill="1" applyBorder="1" applyAlignment="1">
      <alignment horizontal="center" vertical="center" wrapText="1"/>
    </xf>
    <xf numFmtId="2" fontId="5" fillId="0" borderId="5" xfId="0" applyNumberFormat="1" applyFont="1" applyFill="1" applyBorder="1" applyAlignment="1">
      <alignment horizontal="center" vertical="center" wrapText="1"/>
    </xf>
    <xf numFmtId="2" fontId="5" fillId="0" borderId="9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2" fontId="5" fillId="0" borderId="17" xfId="0" applyNumberFormat="1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2" fontId="5" fillId="0" borderId="13" xfId="0" applyNumberFormat="1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2" fontId="5" fillId="0" borderId="2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10" fillId="0" borderId="30" xfId="0" applyFont="1" applyFill="1" applyBorder="1" applyAlignment="1">
      <alignment horizontal="center"/>
    </xf>
    <xf numFmtId="2" fontId="5" fillId="0" borderId="22" xfId="0" applyNumberFormat="1" applyFont="1" applyFill="1" applyBorder="1" applyAlignment="1">
      <alignment horizontal="center" wrapText="1"/>
    </xf>
    <xf numFmtId="2" fontId="5" fillId="0" borderId="2" xfId="0" applyNumberFormat="1" applyFont="1" applyFill="1" applyBorder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10" fillId="0" borderId="40" xfId="0" applyFont="1" applyFill="1" applyBorder="1" applyAlignment="1">
      <alignment horizontal="center" vertical="center" wrapText="1"/>
    </xf>
    <xf numFmtId="0" fontId="10" fillId="0" borderId="41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 shrinkToFit="1"/>
    </xf>
    <xf numFmtId="0" fontId="10" fillId="0" borderId="14" xfId="0" applyFont="1" applyFill="1" applyBorder="1" applyAlignment="1">
      <alignment horizontal="center" vertical="center" wrapText="1" shrinkToFit="1"/>
    </xf>
    <xf numFmtId="0" fontId="10" fillId="0" borderId="4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11" fillId="0" borderId="0" xfId="0" applyFont="1" applyFill="1" applyBorder="1" applyAlignment="1">
      <alignment horizontal="center" wrapText="1" shrinkToFit="1"/>
    </xf>
    <xf numFmtId="2" fontId="10" fillId="0" borderId="19" xfId="0" applyNumberFormat="1" applyFont="1" applyFill="1" applyBorder="1" applyAlignment="1">
      <alignment horizontal="center" vertical="center" wrapText="1"/>
    </xf>
    <xf numFmtId="2" fontId="10" fillId="0" borderId="17" xfId="0" applyNumberFormat="1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/>
    </xf>
    <xf numFmtId="0" fontId="10" fillId="0" borderId="42" xfId="0" applyFont="1" applyFill="1" applyBorder="1" applyAlignment="1">
      <alignment horizontal="center" vertical="center" wrapText="1" shrinkToFit="1"/>
    </xf>
    <xf numFmtId="0" fontId="10" fillId="0" borderId="34" xfId="0" applyFont="1" applyFill="1" applyBorder="1" applyAlignment="1">
      <alignment horizontal="center" vertical="center" wrapText="1" shrinkToFit="1"/>
    </xf>
    <xf numFmtId="0" fontId="11" fillId="0" borderId="29" xfId="0" applyFont="1" applyFill="1" applyBorder="1" applyAlignment="1">
      <alignment horizontal="center" wrapText="1" shrinkToFit="1"/>
    </xf>
    <xf numFmtId="0" fontId="10" fillId="0" borderId="37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 wrapText="1" shrinkToFit="1"/>
    </xf>
    <xf numFmtId="0" fontId="10" fillId="0" borderId="36" xfId="0" applyFont="1" applyFill="1" applyBorder="1" applyAlignment="1">
      <alignment horizontal="center" vertical="center" wrapText="1" shrinkToFit="1"/>
    </xf>
    <xf numFmtId="2" fontId="5" fillId="0" borderId="21" xfId="0" applyNumberFormat="1" applyFont="1" applyFill="1" applyBorder="1" applyAlignment="1">
      <alignment horizontal="center"/>
    </xf>
    <xf numFmtId="2" fontId="5" fillId="0" borderId="2" xfId="0" applyNumberFormat="1" applyFont="1" applyFill="1" applyBorder="1" applyAlignment="1">
      <alignment horizontal="center"/>
    </xf>
    <xf numFmtId="2" fontId="5" fillId="0" borderId="23" xfId="0" applyNumberFormat="1" applyFont="1" applyFill="1" applyBorder="1" applyAlignment="1">
      <alignment horizontal="center"/>
    </xf>
    <xf numFmtId="0" fontId="5" fillId="0" borderId="34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2" fontId="13" fillId="0" borderId="16" xfId="0" applyNumberFormat="1" applyFont="1" applyFill="1" applyBorder="1" applyAlignment="1">
      <alignment horizontal="center"/>
    </xf>
    <xf numFmtId="2" fontId="13" fillId="0" borderId="9" xfId="0" applyNumberFormat="1" applyFont="1" applyFill="1" applyBorder="1" applyAlignment="1">
      <alignment horizontal="center"/>
    </xf>
    <xf numFmtId="2" fontId="13" fillId="0" borderId="17" xfId="0" applyNumberFormat="1" applyFont="1" applyFill="1" applyBorder="1" applyAlignment="1">
      <alignment horizontal="center"/>
    </xf>
    <xf numFmtId="2" fontId="13" fillId="0" borderId="13" xfId="0" applyNumberFormat="1" applyFont="1" applyFill="1" applyBorder="1" applyAlignment="1">
      <alignment horizontal="center"/>
    </xf>
    <xf numFmtId="2" fontId="13" fillId="0" borderId="20" xfId="0" applyNumberFormat="1" applyFont="1" applyFill="1" applyBorder="1" applyAlignment="1">
      <alignment horizontal="center"/>
    </xf>
    <xf numFmtId="0" fontId="18" fillId="0" borderId="40" xfId="0" applyFont="1" applyFill="1" applyBorder="1" applyAlignment="1">
      <alignment horizontal="center" vertical="center" wrapText="1"/>
    </xf>
    <xf numFmtId="0" fontId="18" fillId="0" borderId="41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34" xfId="0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horizontal="center" wrapText="1"/>
    </xf>
    <xf numFmtId="2" fontId="13" fillId="0" borderId="19" xfId="0" applyNumberFormat="1" applyFont="1" applyFill="1" applyBorder="1" applyAlignment="1">
      <alignment horizontal="center" vertical="center" wrapText="1"/>
    </xf>
    <xf numFmtId="2" fontId="13" fillId="0" borderId="5" xfId="0" applyNumberFormat="1" applyFont="1" applyFill="1" applyBorder="1" applyAlignment="1">
      <alignment horizontal="center" vertical="center" wrapText="1"/>
    </xf>
    <xf numFmtId="0" fontId="18" fillId="0" borderId="35" xfId="0" applyFont="1" applyFill="1" applyBorder="1" applyAlignment="1">
      <alignment horizontal="center" vertical="center" wrapText="1" shrinkToFit="1"/>
    </xf>
    <xf numFmtId="0" fontId="18" fillId="0" borderId="36" xfId="0" applyFont="1" applyFill="1" applyBorder="1" applyAlignment="1">
      <alignment horizontal="center" vertical="center" wrapText="1" shrinkToFit="1"/>
    </xf>
    <xf numFmtId="2" fontId="18" fillId="0" borderId="35" xfId="0" applyNumberFormat="1" applyFont="1" applyFill="1" applyBorder="1" applyAlignment="1">
      <alignment horizontal="center" vertical="center" wrapText="1"/>
    </xf>
    <xf numFmtId="2" fontId="18" fillId="0" borderId="36" xfId="0" applyNumberFormat="1" applyFont="1" applyFill="1" applyBorder="1" applyAlignment="1">
      <alignment horizontal="center" vertical="center" wrapText="1"/>
    </xf>
    <xf numFmtId="2" fontId="18" fillId="0" borderId="43" xfId="0" applyNumberFormat="1" applyFont="1" applyFill="1" applyBorder="1" applyAlignment="1">
      <alignment horizontal="center" vertical="center" wrapText="1"/>
    </xf>
    <xf numFmtId="2" fontId="18" fillId="0" borderId="44" xfId="0" applyNumberFormat="1" applyFont="1" applyFill="1" applyBorder="1" applyAlignment="1">
      <alignment horizontal="center" vertical="center" wrapText="1"/>
    </xf>
    <xf numFmtId="0" fontId="18" fillId="0" borderId="42" xfId="0" applyFont="1" applyFill="1" applyBorder="1" applyAlignment="1">
      <alignment horizontal="center" vertical="center" wrapText="1" shrinkToFit="1"/>
    </xf>
    <xf numFmtId="0" fontId="18" fillId="0" borderId="34" xfId="0" applyFont="1" applyFill="1" applyBorder="1" applyAlignment="1">
      <alignment horizontal="center" vertical="center" wrapText="1" shrinkToFit="1"/>
    </xf>
    <xf numFmtId="0" fontId="19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7" fillId="0" borderId="0" xfId="0" applyFont="1" applyFill="1" applyAlignment="1">
      <alignment horizontal="left"/>
    </xf>
    <xf numFmtId="2" fontId="13" fillId="0" borderId="22" xfId="0" applyNumberFormat="1" applyFont="1" applyFill="1" applyBorder="1" applyAlignment="1">
      <alignment horizontal="center"/>
    </xf>
    <xf numFmtId="2" fontId="13" fillId="0" borderId="2" xfId="0" applyNumberFormat="1" applyFont="1" applyFill="1" applyBorder="1" applyAlignment="1">
      <alignment horizontal="center"/>
    </xf>
    <xf numFmtId="0" fontId="13" fillId="0" borderId="0" xfId="0" applyFont="1" applyFill="1" applyAlignment="1">
      <alignment horizontal="right"/>
    </xf>
    <xf numFmtId="0" fontId="15" fillId="0" borderId="0" xfId="0" applyFont="1" applyFill="1" applyAlignment="1">
      <alignment horizontal="center" wrapText="1"/>
    </xf>
    <xf numFmtId="0" fontId="17" fillId="0" borderId="0" xfId="0" applyFont="1" applyFill="1" applyAlignment="1">
      <alignment horizontal="center"/>
    </xf>
    <xf numFmtId="2" fontId="13" fillId="0" borderId="21" xfId="0" applyNumberFormat="1" applyFont="1" applyFill="1" applyBorder="1" applyAlignment="1">
      <alignment horizontal="center"/>
    </xf>
    <xf numFmtId="2" fontId="13" fillId="0" borderId="23" xfId="0" applyNumberFormat="1" applyFont="1" applyFill="1" applyBorder="1" applyAlignment="1">
      <alignment horizontal="center"/>
    </xf>
    <xf numFmtId="0" fontId="18" fillId="0" borderId="30" xfId="0" applyFont="1" applyFill="1" applyBorder="1" applyAlignment="1">
      <alignment horizontal="center"/>
    </xf>
    <xf numFmtId="2" fontId="13" fillId="0" borderId="22" xfId="0" applyNumberFormat="1" applyFont="1" applyFill="1" applyBorder="1" applyAlignment="1">
      <alignment horizontal="center" wrapText="1"/>
    </xf>
    <xf numFmtId="2" fontId="13" fillId="0" borderId="2" xfId="0" applyNumberFormat="1" applyFont="1" applyFill="1" applyBorder="1" applyAlignment="1">
      <alignment horizontal="center" wrapText="1"/>
    </xf>
    <xf numFmtId="0" fontId="13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left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21" fillId="0" borderId="29" xfId="0" applyFont="1" applyFill="1" applyBorder="1" applyAlignment="1">
      <alignment horizontal="center" wrapText="1" shrinkToFit="1"/>
    </xf>
    <xf numFmtId="0" fontId="17" fillId="0" borderId="37" xfId="0" applyFont="1" applyFill="1" applyBorder="1" applyAlignment="1">
      <alignment horizontal="center" vertical="center"/>
    </xf>
    <xf numFmtId="0" fontId="17" fillId="0" borderId="38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wrapText="1"/>
    </xf>
    <xf numFmtId="2" fontId="5" fillId="0" borderId="3" xfId="0" applyNumberFormat="1" applyFont="1" applyFill="1" applyBorder="1" applyAlignment="1">
      <alignment horizontal="center"/>
    </xf>
    <xf numFmtId="2" fontId="5" fillId="0" borderId="48" xfId="0" applyNumberFormat="1" applyFont="1" applyFill="1" applyBorder="1" applyAlignment="1">
      <alignment horizontal="center"/>
    </xf>
    <xf numFmtId="2" fontId="5" fillId="0" borderId="46" xfId="0" applyNumberFormat="1" applyFont="1" applyFill="1" applyBorder="1" applyAlignment="1">
      <alignment horizontal="center"/>
    </xf>
    <xf numFmtId="2" fontId="5" fillId="0" borderId="45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2" fontId="5" fillId="0" borderId="26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2" fillId="0" borderId="0" xfId="0" applyFont="1" applyFill="1"/>
    <xf numFmtId="0" fontId="23" fillId="0" borderId="0" xfId="0" applyFont="1" applyFill="1" applyAlignment="1">
      <alignment wrapText="1"/>
    </xf>
    <xf numFmtId="2" fontId="22" fillId="0" borderId="0" xfId="0" applyNumberFormat="1" applyFont="1" applyFill="1"/>
    <xf numFmtId="0" fontId="22" fillId="0" borderId="10" xfId="0" applyFont="1" applyFill="1" applyBorder="1" applyAlignment="1">
      <alignment wrapText="1"/>
    </xf>
    <xf numFmtId="0" fontId="22" fillId="0" borderId="10" xfId="0" applyFont="1" applyFill="1" applyBorder="1"/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2" fontId="24" fillId="0" borderId="0" xfId="0" applyNumberFormat="1" applyFont="1" applyFill="1"/>
    <xf numFmtId="2" fontId="22" fillId="0" borderId="10" xfId="0" applyNumberFormat="1" applyFont="1" applyFill="1" applyBorder="1"/>
    <xf numFmtId="0" fontId="25" fillId="0" borderId="0" xfId="0" applyFont="1" applyFill="1" applyBorder="1"/>
    <xf numFmtId="0" fontId="25" fillId="0" borderId="0" xfId="0" applyFont="1" applyFill="1"/>
    <xf numFmtId="2" fontId="25" fillId="0" borderId="0" xfId="0" applyNumberFormat="1" applyFont="1" applyFill="1"/>
    <xf numFmtId="0" fontId="22" fillId="0" borderId="0" xfId="0" applyFont="1" applyFill="1" applyBorder="1"/>
    <xf numFmtId="0" fontId="25" fillId="0" borderId="0" xfId="0" applyFont="1" applyFill="1" applyAlignment="1">
      <alignment wrapText="1"/>
    </xf>
    <xf numFmtId="0" fontId="26" fillId="0" borderId="39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2" fontId="26" fillId="0" borderId="39" xfId="0" applyNumberFormat="1" applyFont="1" applyFill="1" applyBorder="1" applyAlignment="1"/>
    <xf numFmtId="0" fontId="26" fillId="0" borderId="0" xfId="0" applyFont="1" applyFill="1" applyBorder="1" applyAlignment="1"/>
    <xf numFmtId="0" fontId="26" fillId="0" borderId="0" xfId="0" applyFont="1" applyFill="1" applyBorder="1"/>
    <xf numFmtId="0" fontId="26" fillId="0" borderId="0" xfId="0" applyFont="1" applyFill="1"/>
    <xf numFmtId="2" fontId="26" fillId="0" borderId="0" xfId="0" applyNumberFormat="1" applyFont="1" applyFill="1"/>
    <xf numFmtId="2" fontId="26" fillId="0" borderId="0" xfId="0" applyNumberFormat="1" applyFont="1" applyFill="1" applyBorder="1" applyAlignment="1"/>
    <xf numFmtId="2" fontId="26" fillId="0" borderId="0" xfId="0" applyNumberFormat="1" applyFont="1" applyFill="1" applyBorder="1"/>
    <xf numFmtId="0" fontId="24" fillId="0" borderId="0" xfId="0" applyFont="1" applyFill="1" applyAlignment="1"/>
    <xf numFmtId="2" fontId="24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2" fontId="22" fillId="0" borderId="0" xfId="0" applyNumberFormat="1" applyFont="1" applyFill="1" applyBorder="1"/>
    <xf numFmtId="0" fontId="22" fillId="0" borderId="0" xfId="0" applyFont="1" applyFill="1" applyAlignment="1">
      <alignment vertical="center"/>
    </xf>
    <xf numFmtId="0" fontId="28" fillId="0" borderId="0" xfId="0" applyFont="1" applyFill="1" applyBorder="1" applyAlignment="1">
      <alignment horizontal="center" wrapText="1"/>
    </xf>
    <xf numFmtId="0" fontId="29" fillId="0" borderId="0" xfId="0" applyFont="1" applyFill="1" applyBorder="1" applyAlignment="1">
      <alignment horizontal="center" wrapText="1"/>
    </xf>
    <xf numFmtId="0" fontId="22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left" vertical="center" wrapText="1"/>
    </xf>
    <xf numFmtId="2" fontId="26" fillId="0" borderId="0" xfId="0" applyNumberFormat="1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wrapText="1"/>
    </xf>
    <xf numFmtId="0" fontId="24" fillId="0" borderId="0" xfId="0" applyFont="1" applyFill="1" applyBorder="1" applyAlignment="1">
      <alignment horizontal="center" wrapText="1"/>
    </xf>
    <xf numFmtId="0" fontId="24" fillId="0" borderId="0" xfId="0" applyFont="1" applyFill="1" applyBorder="1" applyAlignment="1">
      <alignment horizontal="center" wrapText="1"/>
    </xf>
    <xf numFmtId="2" fontId="26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wrapText="1"/>
    </xf>
    <xf numFmtId="2" fontId="26" fillId="0" borderId="0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26" fillId="0" borderId="0" xfId="0" applyFont="1" applyFill="1" applyAlignment="1"/>
    <xf numFmtId="0" fontId="22" fillId="0" borderId="0" xfId="0" applyFont="1" applyFill="1" applyAlignment="1"/>
    <xf numFmtId="0" fontId="22" fillId="0" borderId="0" xfId="0" applyFont="1" applyFill="1" applyAlignment="1">
      <alignment horizontal="right"/>
    </xf>
    <xf numFmtId="0" fontId="25" fillId="0" borderId="0" xfId="0" applyFont="1" applyFill="1" applyAlignment="1">
      <alignment horizontal="center" wrapText="1"/>
    </xf>
    <xf numFmtId="2" fontId="26" fillId="0" borderId="0" xfId="0" applyNumberFormat="1" applyFont="1" applyFill="1" applyBorder="1" applyAlignment="1">
      <alignment horizontal="center" wrapText="1"/>
    </xf>
    <xf numFmtId="0" fontId="23" fillId="0" borderId="0" xfId="0" applyFont="1" applyFill="1" applyAlignment="1">
      <alignment horizontal="center" wrapText="1"/>
    </xf>
    <xf numFmtId="0" fontId="25" fillId="0" borderId="0" xfId="0" applyFont="1" applyFill="1" applyBorder="1" applyAlignment="1">
      <alignment horizontal="center" wrapText="1" shrinkToFit="1"/>
    </xf>
    <xf numFmtId="0" fontId="30" fillId="0" borderId="0" xfId="0" applyFont="1" applyFill="1" applyBorder="1" applyAlignment="1">
      <alignment horizontal="center" vertical="center"/>
    </xf>
    <xf numFmtId="2" fontId="24" fillId="0" borderId="0" xfId="0" applyNumberFormat="1" applyFont="1" applyFill="1" applyBorder="1" applyAlignment="1">
      <alignment horizontal="center" vertical="center" wrapText="1"/>
    </xf>
    <xf numFmtId="2" fontId="25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wrapText="1"/>
    </xf>
    <xf numFmtId="0" fontId="26" fillId="0" borderId="0" xfId="0" applyFont="1" applyFill="1" applyBorder="1" applyAlignment="1">
      <alignment horizontal="center" vertical="center" wrapText="1"/>
    </xf>
    <xf numFmtId="2" fontId="26" fillId="0" borderId="0" xfId="0" applyNumberFormat="1" applyFont="1" applyFill="1" applyBorder="1" applyAlignment="1">
      <alignment horizontal="center"/>
    </xf>
    <xf numFmtId="0" fontId="24" fillId="0" borderId="0" xfId="0" applyFont="1" applyFill="1" applyAlignment="1">
      <alignment horizontal="left"/>
    </xf>
    <xf numFmtId="0" fontId="24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T50"/>
  <sheetViews>
    <sheetView tabSelected="1" zoomScale="110" zoomScaleNormal="110" workbookViewId="0">
      <selection activeCell="F21" sqref="F21"/>
    </sheetView>
  </sheetViews>
  <sheetFormatPr defaultColWidth="9.140625" defaultRowHeight="15.75" outlineLevelRow="1"/>
  <cols>
    <col min="1" max="1" width="2.85546875" style="2" customWidth="1"/>
    <col min="2" max="2" width="55.42578125" style="2" customWidth="1"/>
    <col min="3" max="3" width="12.140625" style="2" customWidth="1"/>
    <col min="4" max="4" width="8.28515625" style="2" customWidth="1"/>
    <col min="5" max="5" width="9.28515625" style="12" customWidth="1"/>
    <col min="6" max="6" width="9.42578125" style="12" customWidth="1"/>
    <col min="7" max="7" width="9.7109375" style="4" customWidth="1"/>
    <col min="8" max="8" width="10.28515625" style="4" customWidth="1"/>
    <col min="9" max="9" width="9.85546875" style="4" customWidth="1"/>
    <col min="10" max="10" width="5.28515625" style="274" customWidth="1"/>
    <col min="11" max="11" width="11" style="274" customWidth="1"/>
    <col min="12" max="12" width="11.140625" style="274" customWidth="1"/>
    <col min="13" max="13" width="11.85546875" style="274" customWidth="1"/>
    <col min="14" max="14" width="14.85546875" style="274" customWidth="1"/>
    <col min="15" max="15" width="15.85546875" style="274" customWidth="1"/>
    <col min="16" max="16" width="16" style="274" customWidth="1"/>
    <col min="17" max="17" width="17" style="274" customWidth="1"/>
    <col min="18" max="19" width="11.85546875" style="274" customWidth="1"/>
    <col min="20" max="16384" width="9.140625" style="2"/>
  </cols>
  <sheetData>
    <row r="1" spans="1:13">
      <c r="B1" s="168" t="s">
        <v>138</v>
      </c>
      <c r="C1" s="168"/>
      <c r="D1" s="168"/>
      <c r="E1" s="168"/>
      <c r="F1" s="168"/>
      <c r="G1" s="168"/>
      <c r="H1" s="168"/>
      <c r="I1" s="168"/>
    </row>
    <row r="2" spans="1:13">
      <c r="B2" s="168" t="s">
        <v>139</v>
      </c>
      <c r="C2" s="168"/>
      <c r="D2" s="168"/>
      <c r="E2" s="168"/>
      <c r="F2" s="168"/>
      <c r="G2" s="168"/>
      <c r="H2" s="168"/>
      <c r="I2" s="168"/>
    </row>
    <row r="3" spans="1:13">
      <c r="B3" s="168" t="s">
        <v>140</v>
      </c>
      <c r="C3" s="168"/>
      <c r="D3" s="168"/>
      <c r="E3" s="168"/>
      <c r="F3" s="168"/>
      <c r="G3" s="168"/>
      <c r="H3" s="168"/>
      <c r="I3" s="168"/>
    </row>
    <row r="4" spans="1:13">
      <c r="B4" s="168" t="s">
        <v>148</v>
      </c>
      <c r="C4" s="168"/>
      <c r="D4" s="168"/>
      <c r="E4" s="168"/>
      <c r="F4" s="168"/>
      <c r="G4" s="168"/>
      <c r="H4" s="168"/>
      <c r="I4" s="168"/>
    </row>
    <row r="5" spans="1:13" ht="9" customHeight="1">
      <c r="B5" s="7"/>
      <c r="C5" s="7"/>
      <c r="D5" s="7"/>
      <c r="E5" s="7"/>
      <c r="F5" s="7"/>
      <c r="G5" s="7"/>
      <c r="H5" s="7"/>
      <c r="I5" s="7"/>
    </row>
    <row r="6" spans="1:13" ht="15.75" customHeight="1">
      <c r="A6" s="10"/>
      <c r="B6" s="200" t="s">
        <v>141</v>
      </c>
      <c r="C6" s="200"/>
      <c r="D6" s="200"/>
      <c r="E6" s="200"/>
      <c r="F6" s="200"/>
      <c r="G6" s="200"/>
      <c r="H6" s="200"/>
      <c r="I6" s="200"/>
      <c r="J6" s="275"/>
      <c r="K6" s="275"/>
      <c r="L6" s="275"/>
    </row>
    <row r="7" spans="1:13" ht="21" customHeight="1">
      <c r="A7" s="10"/>
      <c r="B7" s="200"/>
      <c r="C7" s="200"/>
      <c r="D7" s="200"/>
      <c r="E7" s="200"/>
      <c r="F7" s="200"/>
      <c r="G7" s="200"/>
      <c r="H7" s="200"/>
      <c r="I7" s="200"/>
      <c r="J7" s="275"/>
      <c r="K7" s="275"/>
      <c r="L7" s="275"/>
    </row>
    <row r="8" spans="1:13" ht="7.5" customHeight="1"/>
    <row r="9" spans="1:13">
      <c r="B9" s="6" t="s">
        <v>0</v>
      </c>
      <c r="C9" s="6"/>
      <c r="D9" s="6"/>
      <c r="E9" s="62"/>
      <c r="F9" s="62"/>
      <c r="G9" s="207" t="s">
        <v>15</v>
      </c>
      <c r="H9" s="207"/>
      <c r="I9" s="207"/>
    </row>
    <row r="10" spans="1:13">
      <c r="B10" s="6" t="s">
        <v>1</v>
      </c>
      <c r="C10" s="6"/>
      <c r="D10" s="6"/>
      <c r="E10" s="62"/>
      <c r="F10" s="62"/>
      <c r="G10" s="63">
        <v>1972</v>
      </c>
      <c r="H10" s="63"/>
      <c r="I10" s="63"/>
    </row>
    <row r="11" spans="1:13" hidden="1" outlineLevel="1">
      <c r="B11" s="6" t="s">
        <v>2</v>
      </c>
      <c r="C11" s="6"/>
      <c r="D11" s="6"/>
      <c r="E11" s="62"/>
      <c r="F11" s="62"/>
      <c r="G11" s="63">
        <v>4</v>
      </c>
      <c r="H11" s="63"/>
      <c r="I11" s="63"/>
    </row>
    <row r="12" spans="1:13" hidden="1" outlineLevel="1">
      <c r="B12" s="6" t="s">
        <v>3</v>
      </c>
      <c r="C12" s="6"/>
      <c r="D12" s="6"/>
      <c r="E12" s="62"/>
      <c r="F12" s="62"/>
      <c r="G12" s="63">
        <v>63</v>
      </c>
      <c r="H12" s="63"/>
      <c r="I12" s="63"/>
    </row>
    <row r="13" spans="1:13" ht="30.75" hidden="1" customHeight="1" outlineLevel="1">
      <c r="B13" s="64" t="s">
        <v>4</v>
      </c>
      <c r="C13" s="64"/>
      <c r="D13" s="64"/>
      <c r="E13" s="65"/>
      <c r="F13" s="65"/>
      <c r="G13" s="63" t="s">
        <v>16</v>
      </c>
      <c r="H13" s="63"/>
      <c r="I13" s="63"/>
    </row>
    <row r="14" spans="1:13" ht="18.75" customHeight="1" collapsed="1">
      <c r="B14" s="6" t="s">
        <v>5</v>
      </c>
      <c r="C14" s="6"/>
      <c r="D14" s="6"/>
      <c r="E14" s="62"/>
      <c r="F14" s="62"/>
      <c r="G14" s="63" t="s">
        <v>154</v>
      </c>
      <c r="H14" s="63"/>
      <c r="I14" s="63"/>
      <c r="M14" s="276"/>
    </row>
    <row r="15" spans="1:13" hidden="1" outlineLevel="1">
      <c r="B15" s="2" t="s">
        <v>6</v>
      </c>
      <c r="G15" s="13" t="s">
        <v>7</v>
      </c>
      <c r="H15" s="13"/>
      <c r="I15" s="13"/>
    </row>
    <row r="16" spans="1:13" ht="30.75" hidden="1" customHeight="1" outlineLevel="1">
      <c r="B16" s="14" t="s">
        <v>8</v>
      </c>
      <c r="C16" s="14"/>
      <c r="D16" s="14"/>
      <c r="E16" s="15"/>
      <c r="F16" s="15"/>
      <c r="G16" s="208" t="s">
        <v>17</v>
      </c>
      <c r="H16" s="208"/>
      <c r="I16" s="13"/>
      <c r="M16" s="276"/>
    </row>
    <row r="17" spans="2:19" ht="18.75" customHeight="1" collapsed="1" thickBot="1">
      <c r="B17" s="209" t="s">
        <v>144</v>
      </c>
      <c r="C17" s="209"/>
      <c r="D17" s="209"/>
      <c r="E17" s="209"/>
      <c r="F17" s="209"/>
      <c r="G17" s="209"/>
      <c r="H17" s="209"/>
      <c r="I17" s="209"/>
      <c r="M17" s="276"/>
      <c r="N17" s="277" t="s">
        <v>99</v>
      </c>
      <c r="O17" s="277" t="s">
        <v>100</v>
      </c>
      <c r="P17" s="277" t="s">
        <v>101</v>
      </c>
      <c r="Q17" s="277" t="s">
        <v>102</v>
      </c>
    </row>
    <row r="18" spans="2:19" ht="34.5" customHeight="1">
      <c r="B18" s="205" t="s">
        <v>97</v>
      </c>
      <c r="C18" s="203" t="s">
        <v>103</v>
      </c>
      <c r="D18" s="203" t="s">
        <v>129</v>
      </c>
      <c r="E18" s="175" t="s">
        <v>147</v>
      </c>
      <c r="F18" s="210" t="s">
        <v>146</v>
      </c>
      <c r="G18" s="173" t="s">
        <v>104</v>
      </c>
      <c r="H18" s="174"/>
      <c r="I18" s="201" t="s">
        <v>151</v>
      </c>
      <c r="M18" s="276"/>
      <c r="N18" s="277"/>
      <c r="O18" s="277"/>
      <c r="P18" s="277"/>
      <c r="Q18" s="277"/>
    </row>
    <row r="19" spans="2:19" ht="42" customHeight="1" thickBot="1">
      <c r="B19" s="206"/>
      <c r="C19" s="204"/>
      <c r="D19" s="204"/>
      <c r="E19" s="176"/>
      <c r="F19" s="211"/>
      <c r="G19" s="16" t="s">
        <v>84</v>
      </c>
      <c r="H19" s="17" t="s">
        <v>85</v>
      </c>
      <c r="I19" s="202"/>
      <c r="N19" s="278">
        <v>153554.72</v>
      </c>
      <c r="O19" s="278">
        <f>322460.33-N19</f>
        <v>168905.61000000002</v>
      </c>
      <c r="P19" s="278">
        <v>142451.59</v>
      </c>
      <c r="Q19" s="278">
        <v>162358.37</v>
      </c>
    </row>
    <row r="20" spans="2:19" s="9" customFormat="1" ht="51" customHeight="1">
      <c r="B20" s="18" t="s">
        <v>89</v>
      </c>
      <c r="C20" s="19" t="s">
        <v>105</v>
      </c>
      <c r="D20" s="20" t="s">
        <v>106</v>
      </c>
      <c r="E20" s="21">
        <v>1.05</v>
      </c>
      <c r="F20" s="21">
        <v>1.06</v>
      </c>
      <c r="G20" s="22">
        <f>($N$19/$N$20*E20)+($O$19/$O$20*F20)</f>
        <v>33959.886646943982</v>
      </c>
      <c r="H20" s="23">
        <f>($P$19/$P$20*E20)+($Q$19/$Q$20*F20)</f>
        <v>32108.545961943768</v>
      </c>
      <c r="I20" s="24">
        <f>G20-H20</f>
        <v>1851.3406850002139</v>
      </c>
      <c r="J20" s="279"/>
      <c r="K20" s="280"/>
      <c r="L20" s="280"/>
      <c r="M20" s="281"/>
      <c r="N20" s="282">
        <f>E30-E28-E26</f>
        <v>10.11</v>
      </c>
      <c r="O20" s="282">
        <f>F30-F28-F26</f>
        <v>9.9400000000000031</v>
      </c>
      <c r="P20" s="282">
        <f>E30-E28-E26</f>
        <v>10.11</v>
      </c>
      <c r="Q20" s="282">
        <f>F30-F28-F26</f>
        <v>9.9400000000000031</v>
      </c>
      <c r="R20" s="280"/>
      <c r="S20" s="280"/>
    </row>
    <row r="21" spans="2:19" s="3" customFormat="1" ht="51">
      <c r="B21" s="26" t="s">
        <v>131</v>
      </c>
      <c r="C21" s="19" t="s">
        <v>105</v>
      </c>
      <c r="D21" s="20" t="s">
        <v>106</v>
      </c>
      <c r="E21" s="27">
        <v>1.17</v>
      </c>
      <c r="F21" s="27">
        <v>1.19</v>
      </c>
      <c r="G21" s="22">
        <f t="shared" ref="G21:G22" si="0">($N$19/$N$20*E21)+($O$19/$O$20*F21)</f>
        <v>37991.521692021561</v>
      </c>
      <c r="H21" s="28">
        <f t="shared" ref="H21:H27" si="1">($P$19/$P$20*E21)+($Q$19/$Q$20*F21)</f>
        <v>35922.76522652233</v>
      </c>
      <c r="I21" s="24">
        <f t="shared" ref="I21:I27" si="2">G21-H21</f>
        <v>2068.7564654992311</v>
      </c>
      <c r="J21" s="283"/>
      <c r="K21" s="284"/>
      <c r="L21" s="284"/>
      <c r="M21" s="284"/>
      <c r="N21" s="285"/>
      <c r="O21" s="284"/>
      <c r="P21" s="284"/>
      <c r="Q21" s="284"/>
      <c r="R21" s="284"/>
      <c r="S21" s="284"/>
    </row>
    <row r="22" spans="2:19" ht="51.75" customHeight="1">
      <c r="B22" s="30" t="s">
        <v>86</v>
      </c>
      <c r="C22" s="19" t="s">
        <v>105</v>
      </c>
      <c r="D22" s="20" t="s">
        <v>106</v>
      </c>
      <c r="E22" s="27">
        <v>0.27</v>
      </c>
      <c r="F22" s="27">
        <v>0.32</v>
      </c>
      <c r="G22" s="22">
        <f t="shared" si="0"/>
        <v>9538.473044080507</v>
      </c>
      <c r="H22" s="28">
        <f t="shared" si="1"/>
        <v>9031.1739464084203</v>
      </c>
      <c r="I22" s="24">
        <f t="shared" si="2"/>
        <v>507.29909767208665</v>
      </c>
      <c r="J22" s="286"/>
      <c r="M22" s="276"/>
    </row>
    <row r="23" spans="2:19" ht="25.5">
      <c r="B23" s="30" t="s">
        <v>87</v>
      </c>
      <c r="C23" s="32" t="s">
        <v>107</v>
      </c>
      <c r="D23" s="20" t="s">
        <v>106</v>
      </c>
      <c r="E23" s="27">
        <v>0.37</v>
      </c>
      <c r="F23" s="27">
        <v>0.33</v>
      </c>
      <c r="G23" s="22">
        <f t="shared" ref="G23:G27" si="3">($N$19/$N$20*E23)+($O$19/$O$20*F23)</f>
        <v>11227.238165481514</v>
      </c>
      <c r="H23" s="28">
        <f t="shared" si="1"/>
        <v>10603.529062933485</v>
      </c>
      <c r="I23" s="24">
        <f t="shared" si="2"/>
        <v>623.70910254802948</v>
      </c>
      <c r="J23" s="286"/>
      <c r="M23" s="276"/>
    </row>
    <row r="24" spans="2:19" ht="51">
      <c r="B24" s="26" t="s">
        <v>90</v>
      </c>
      <c r="C24" s="19" t="s">
        <v>170</v>
      </c>
      <c r="D24" s="20" t="s">
        <v>106</v>
      </c>
      <c r="E24" s="27">
        <v>1.33</v>
      </c>
      <c r="F24" s="27">
        <v>1.18</v>
      </c>
      <c r="G24" s="22">
        <f t="shared" si="3"/>
        <v>40251.740467752112</v>
      </c>
      <c r="H24" s="28">
        <f t="shared" si="1"/>
        <v>38013.853571916159</v>
      </c>
      <c r="I24" s="24">
        <f t="shared" si="2"/>
        <v>2237.8868958359526</v>
      </c>
      <c r="J24" s="286"/>
    </row>
    <row r="25" spans="2:19" s="3" customFormat="1" ht="210" customHeight="1">
      <c r="B25" s="26" t="s">
        <v>171</v>
      </c>
      <c r="C25" s="19" t="s">
        <v>109</v>
      </c>
      <c r="D25" s="20" t="s">
        <v>106</v>
      </c>
      <c r="E25" s="27">
        <v>5.6</v>
      </c>
      <c r="F25" s="27">
        <v>5.61</v>
      </c>
      <c r="G25" s="22">
        <f t="shared" si="3"/>
        <v>180383.05308618274</v>
      </c>
      <c r="H25" s="28">
        <f>G25+181</f>
        <v>180564.05308618274</v>
      </c>
      <c r="I25" s="24">
        <f t="shared" si="2"/>
        <v>-181</v>
      </c>
      <c r="J25" s="283"/>
      <c r="K25" s="284"/>
      <c r="L25" s="284"/>
      <c r="M25" s="285"/>
      <c r="N25" s="284"/>
      <c r="O25" s="284"/>
      <c r="P25" s="284"/>
      <c r="Q25" s="284"/>
      <c r="R25" s="284"/>
      <c r="S25" s="284"/>
    </row>
    <row r="26" spans="2:19" ht="24">
      <c r="B26" s="30" t="s">
        <v>108</v>
      </c>
      <c r="C26" s="19" t="s">
        <v>107</v>
      </c>
      <c r="D26" s="20" t="s">
        <v>106</v>
      </c>
      <c r="E26" s="27">
        <v>2</v>
      </c>
      <c r="F26" s="27">
        <v>2</v>
      </c>
      <c r="G26" s="22">
        <v>62717.45</v>
      </c>
      <c r="H26" s="28">
        <v>58964.38</v>
      </c>
      <c r="I26" s="24">
        <f>H26-G26</f>
        <v>-3753.0699999999997</v>
      </c>
      <c r="J26" s="286"/>
    </row>
    <row r="27" spans="2:19" ht="117" customHeight="1">
      <c r="B27" s="26" t="s">
        <v>111</v>
      </c>
      <c r="C27" s="19" t="s">
        <v>105</v>
      </c>
      <c r="D27" s="20" t="s">
        <v>106</v>
      </c>
      <c r="E27" s="27">
        <v>0.21</v>
      </c>
      <c r="F27" s="27">
        <v>0.24</v>
      </c>
      <c r="G27" s="22">
        <f t="shared" si="3"/>
        <v>7267.7677800930205</v>
      </c>
      <c r="H27" s="28">
        <f t="shared" si="1"/>
        <v>6879.0567135155125</v>
      </c>
      <c r="I27" s="24">
        <f t="shared" si="2"/>
        <v>388.71106657750806</v>
      </c>
      <c r="J27" s="286"/>
    </row>
    <row r="28" spans="2:19" ht="48">
      <c r="B28" s="30" t="s">
        <v>94</v>
      </c>
      <c r="C28" s="19" t="s">
        <v>105</v>
      </c>
      <c r="D28" s="20" t="s">
        <v>106</v>
      </c>
      <c r="E28" s="27">
        <v>3.49</v>
      </c>
      <c r="F28" s="27">
        <v>4.5999999999999996</v>
      </c>
      <c r="G28" s="22">
        <v>110957.26</v>
      </c>
      <c r="H28" s="28">
        <v>75971</v>
      </c>
      <c r="I28" s="24">
        <f>G28-H28</f>
        <v>34986.259999999995</v>
      </c>
      <c r="J28" s="286"/>
      <c r="M28" s="276"/>
    </row>
    <row r="29" spans="2:19" ht="16.5" thickBot="1">
      <c r="B29" s="33" t="s">
        <v>88</v>
      </c>
      <c r="C29" s="34" t="s">
        <v>109</v>
      </c>
      <c r="D29" s="35" t="s">
        <v>106</v>
      </c>
      <c r="E29" s="36">
        <v>0.11</v>
      </c>
      <c r="F29" s="36">
        <v>0.01</v>
      </c>
      <c r="G29" s="37">
        <f t="shared" ref="G29" si="4">($N$19/$N$20*E29)+($O$19/$O$20*F29)</f>
        <v>1840.6491174445287</v>
      </c>
      <c r="H29" s="38">
        <f t="shared" ref="H29" si="5">($P$19/$P$20*E29)+($Q$19/$Q$20*F29)</f>
        <v>1713.2567881373304</v>
      </c>
      <c r="I29" s="24">
        <f>G29-H29</f>
        <v>127.39232930719822</v>
      </c>
      <c r="J29" s="286"/>
    </row>
    <row r="30" spans="2:19" ht="16.5" thickBot="1">
      <c r="B30" s="39" t="s">
        <v>92</v>
      </c>
      <c r="C30" s="40"/>
      <c r="D30" s="40"/>
      <c r="E30" s="41">
        <f>SUM(E20:E29)</f>
        <v>15.6</v>
      </c>
      <c r="F30" s="42">
        <f>SUM(F20:F29)</f>
        <v>16.540000000000003</v>
      </c>
      <c r="G30" s="43">
        <f>SUM(G20:G29)</f>
        <v>496135.04</v>
      </c>
      <c r="H30" s="44">
        <f>SUM(H20:H29)</f>
        <v>449771.61435755971</v>
      </c>
      <c r="I30" s="45">
        <f>SUM(I20:I29)</f>
        <v>38857.28564244022</v>
      </c>
      <c r="J30" s="286"/>
    </row>
    <row r="31" spans="2:19" ht="12" customHeight="1">
      <c r="B31" s="5"/>
      <c r="C31" s="5"/>
      <c r="D31" s="5"/>
    </row>
    <row r="32" spans="2:19" ht="15" customHeight="1" thickBot="1">
      <c r="B32" s="177" t="s">
        <v>143</v>
      </c>
      <c r="C32" s="177"/>
      <c r="D32" s="177"/>
      <c r="E32" s="177"/>
      <c r="F32" s="177"/>
      <c r="G32" s="177"/>
      <c r="H32" s="177"/>
      <c r="I32" s="177"/>
      <c r="J32" s="287"/>
      <c r="K32" s="287"/>
    </row>
    <row r="33" spans="2:20" s="4" customFormat="1" ht="45" customHeight="1">
      <c r="B33" s="46"/>
      <c r="C33" s="47"/>
      <c r="D33" s="182" t="s">
        <v>110</v>
      </c>
      <c r="E33" s="183"/>
      <c r="F33" s="171" t="s">
        <v>9</v>
      </c>
      <c r="G33" s="172"/>
      <c r="H33" s="178" t="s">
        <v>10</v>
      </c>
      <c r="I33" s="179"/>
      <c r="J33" s="288"/>
      <c r="K33" s="289"/>
      <c r="L33" s="290"/>
      <c r="M33" s="291"/>
      <c r="N33" s="292"/>
      <c r="O33" s="292"/>
      <c r="P33" s="292"/>
      <c r="Q33" s="292"/>
      <c r="R33" s="292"/>
      <c r="S33" s="292"/>
    </row>
    <row r="34" spans="2:20">
      <c r="B34" s="48" t="s">
        <v>11</v>
      </c>
      <c r="C34" s="49"/>
      <c r="D34" s="169">
        <f>F34+H34</f>
        <v>496135.04000000004</v>
      </c>
      <c r="E34" s="184"/>
      <c r="F34" s="169">
        <f>322460.33+62717.45</f>
        <v>385177.78</v>
      </c>
      <c r="G34" s="170"/>
      <c r="H34" s="169">
        <f>G28</f>
        <v>110957.26</v>
      </c>
      <c r="I34" s="181"/>
      <c r="J34" s="293"/>
      <c r="K34" s="294" t="s">
        <v>152</v>
      </c>
      <c r="L34" s="295">
        <v>34093.870000000003</v>
      </c>
      <c r="M34" s="295">
        <v>530228.91</v>
      </c>
      <c r="N34" s="296">
        <f>M34-L34</f>
        <v>496135.04000000004</v>
      </c>
      <c r="O34" s="297">
        <f>N34-D34</f>
        <v>0</v>
      </c>
      <c r="P34" s="296"/>
    </row>
    <row r="35" spans="2:20">
      <c r="B35" s="48" t="s">
        <v>12</v>
      </c>
      <c r="C35" s="49"/>
      <c r="D35" s="169">
        <f>F35+H35</f>
        <v>464919.62</v>
      </c>
      <c r="E35" s="184"/>
      <c r="F35" s="169">
        <f>302074.94+58964.38</f>
        <v>361039.32</v>
      </c>
      <c r="G35" s="170"/>
      <c r="H35" s="169">
        <v>103880.3</v>
      </c>
      <c r="I35" s="180"/>
      <c r="J35" s="293"/>
      <c r="K35" s="298"/>
      <c r="L35" s="299">
        <v>1921.85</v>
      </c>
      <c r="M35" s="295">
        <v>467425.11</v>
      </c>
      <c r="N35" s="296">
        <f>M35-L35</f>
        <v>465503.26</v>
      </c>
      <c r="O35" s="297">
        <f>N35-D35</f>
        <v>583.64000000001397</v>
      </c>
      <c r="P35" s="296" t="s">
        <v>153</v>
      </c>
    </row>
    <row r="36" spans="2:20" ht="16.5" thickBot="1">
      <c r="B36" s="51" t="s">
        <v>91</v>
      </c>
      <c r="C36" s="52"/>
      <c r="D36" s="187">
        <f>F36+H36</f>
        <v>449771.61435755971</v>
      </c>
      <c r="E36" s="189"/>
      <c r="F36" s="187">
        <f>H20+H21+H22+H23+H24+H25+H26+H27+H29</f>
        <v>373800.61435755971</v>
      </c>
      <c r="G36" s="190"/>
      <c r="H36" s="187">
        <f>H28</f>
        <v>75971</v>
      </c>
      <c r="I36" s="188"/>
      <c r="J36" s="293"/>
      <c r="K36" s="294"/>
      <c r="L36" s="286"/>
      <c r="M36" s="286"/>
    </row>
    <row r="37" spans="2:20" ht="27.75" customHeight="1" thickBot="1">
      <c r="B37" s="53" t="s">
        <v>156</v>
      </c>
      <c r="C37" s="54"/>
      <c r="D37" s="198">
        <f>F37+H37</f>
        <v>15148.005642440301</v>
      </c>
      <c r="E37" s="199"/>
      <c r="F37" s="191">
        <f>F35-F36</f>
        <v>-12761.294357559702</v>
      </c>
      <c r="G37" s="192"/>
      <c r="H37" s="191">
        <f>H35-H36</f>
        <v>27909.300000000003</v>
      </c>
      <c r="I37" s="193"/>
      <c r="J37" s="293"/>
      <c r="K37" s="294"/>
      <c r="L37" s="286"/>
      <c r="M37" s="286"/>
    </row>
    <row r="38" spans="2:20" s="3" customFormat="1" ht="33.75" customHeight="1">
      <c r="B38" s="55" t="s">
        <v>79</v>
      </c>
      <c r="C38" s="56"/>
      <c r="D38" s="56"/>
      <c r="E38" s="197" t="s">
        <v>80</v>
      </c>
      <c r="F38" s="197"/>
      <c r="G38" s="195" t="s">
        <v>13</v>
      </c>
      <c r="H38" s="195"/>
      <c r="I38" s="55"/>
      <c r="J38" s="300"/>
      <c r="K38" s="284"/>
      <c r="L38" s="284"/>
      <c r="M38" s="284"/>
      <c r="N38" s="284"/>
      <c r="O38" s="284"/>
      <c r="P38" s="284"/>
      <c r="Q38" s="284"/>
      <c r="R38" s="274"/>
      <c r="S38" s="284"/>
      <c r="T38" s="2"/>
    </row>
    <row r="39" spans="2:20" s="3" customFormat="1" ht="9.75" customHeight="1">
      <c r="B39" s="55"/>
      <c r="C39" s="56"/>
      <c r="D39" s="56"/>
      <c r="E39" s="185" t="s">
        <v>14</v>
      </c>
      <c r="F39" s="185"/>
      <c r="G39" s="196"/>
      <c r="H39" s="196"/>
      <c r="I39" s="55"/>
      <c r="J39" s="300"/>
      <c r="K39" s="284"/>
      <c r="L39" s="284"/>
      <c r="M39" s="284"/>
      <c r="N39" s="284"/>
      <c r="O39" s="284"/>
      <c r="P39" s="284"/>
      <c r="Q39" s="284"/>
      <c r="R39" s="284"/>
      <c r="S39" s="284"/>
    </row>
    <row r="40" spans="2:20" s="3" customFormat="1" ht="12" customHeight="1">
      <c r="B40" s="55" t="s">
        <v>81</v>
      </c>
      <c r="C40" s="56"/>
      <c r="D40" s="56"/>
      <c r="E40" s="186" t="s">
        <v>80</v>
      </c>
      <c r="F40" s="186"/>
      <c r="G40" s="195" t="s">
        <v>96</v>
      </c>
      <c r="H40" s="195"/>
      <c r="I40" s="55"/>
      <c r="J40" s="300"/>
      <c r="K40" s="284"/>
      <c r="L40" s="284"/>
      <c r="M40" s="284"/>
      <c r="N40" s="284"/>
      <c r="O40" s="284"/>
      <c r="P40" s="284"/>
      <c r="Q40" s="284"/>
      <c r="R40" s="284"/>
      <c r="S40" s="284"/>
    </row>
    <row r="41" spans="2:20" ht="8.25" customHeight="1">
      <c r="B41" s="55"/>
      <c r="C41" s="56"/>
      <c r="D41" s="56"/>
      <c r="E41" s="185" t="s">
        <v>14</v>
      </c>
      <c r="F41" s="185"/>
      <c r="G41" s="195"/>
      <c r="H41" s="195"/>
      <c r="I41" s="55"/>
      <c r="J41" s="300"/>
      <c r="R41" s="284"/>
      <c r="T41" s="3"/>
    </row>
    <row r="42" spans="2:20" ht="17.25" customHeight="1">
      <c r="B42" s="55" t="s">
        <v>82</v>
      </c>
      <c r="C42" s="56"/>
      <c r="D42" s="56"/>
      <c r="E42" s="186" t="s">
        <v>80</v>
      </c>
      <c r="F42" s="186"/>
      <c r="G42" s="195" t="s">
        <v>98</v>
      </c>
      <c r="H42" s="195"/>
      <c r="I42" s="55"/>
      <c r="J42" s="300"/>
    </row>
    <row r="43" spans="2:20" ht="9.75" customHeight="1">
      <c r="B43" s="57"/>
      <c r="C43" s="58"/>
      <c r="D43" s="58"/>
      <c r="E43" s="185" t="s">
        <v>14</v>
      </c>
      <c r="F43" s="185"/>
      <c r="G43" s="59"/>
      <c r="H43" s="57"/>
      <c r="I43" s="60"/>
      <c r="J43" s="296"/>
    </row>
    <row r="44" spans="2:20" ht="15" customHeight="1">
      <c r="B44" s="55" t="s">
        <v>83</v>
      </c>
      <c r="C44" s="56"/>
      <c r="D44" s="56"/>
      <c r="E44" s="186" t="s">
        <v>80</v>
      </c>
      <c r="F44" s="186"/>
      <c r="G44" s="195" t="s">
        <v>142</v>
      </c>
      <c r="H44" s="195"/>
      <c r="I44" s="55"/>
      <c r="J44" s="300"/>
    </row>
    <row r="45" spans="2:20" ht="9.75" customHeight="1">
      <c r="E45" s="185" t="s">
        <v>14</v>
      </c>
      <c r="F45" s="185"/>
      <c r="G45" s="194"/>
      <c r="H45" s="194"/>
      <c r="J45" s="292"/>
    </row>
    <row r="50" spans="8:8">
      <c r="H50" s="61"/>
    </row>
  </sheetData>
  <mergeCells count="46">
    <mergeCell ref="E45:F45"/>
    <mergeCell ref="E38:F38"/>
    <mergeCell ref="B1:I1"/>
    <mergeCell ref="D37:E37"/>
    <mergeCell ref="E43:F43"/>
    <mergeCell ref="E44:F44"/>
    <mergeCell ref="B6:I7"/>
    <mergeCell ref="I18:I19"/>
    <mergeCell ref="C18:C19"/>
    <mergeCell ref="D18:D19"/>
    <mergeCell ref="B18:B19"/>
    <mergeCell ref="G9:I9"/>
    <mergeCell ref="G16:H16"/>
    <mergeCell ref="B17:I17"/>
    <mergeCell ref="D35:E35"/>
    <mergeCell ref="F18:F19"/>
    <mergeCell ref="G45:H45"/>
    <mergeCell ref="G38:H38"/>
    <mergeCell ref="G44:H44"/>
    <mergeCell ref="G41:H41"/>
    <mergeCell ref="G42:H42"/>
    <mergeCell ref="G39:H39"/>
    <mergeCell ref="G40:H40"/>
    <mergeCell ref="E39:F39"/>
    <mergeCell ref="E40:F40"/>
    <mergeCell ref="E41:F41"/>
    <mergeCell ref="E42:F42"/>
    <mergeCell ref="H36:I36"/>
    <mergeCell ref="D36:E36"/>
    <mergeCell ref="F36:G36"/>
    <mergeCell ref="F37:G37"/>
    <mergeCell ref="H37:I37"/>
    <mergeCell ref="B2:I2"/>
    <mergeCell ref="B3:I3"/>
    <mergeCell ref="B4:I4"/>
    <mergeCell ref="F34:G34"/>
    <mergeCell ref="F35:G35"/>
    <mergeCell ref="F33:G33"/>
    <mergeCell ref="G18:H18"/>
    <mergeCell ref="E18:E19"/>
    <mergeCell ref="B32:I32"/>
    <mergeCell ref="H33:I33"/>
    <mergeCell ref="H35:I35"/>
    <mergeCell ref="H34:I34"/>
    <mergeCell ref="D33:E33"/>
    <mergeCell ref="D34:E34"/>
  </mergeCells>
  <printOptions horizontalCentered="1"/>
  <pageMargins left="0.15" right="0.19685039370078741" top="0.15748031496062992" bottom="0.15" header="0.21" footer="0.15"/>
  <pageSetup paperSize="9" scale="43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R46"/>
  <sheetViews>
    <sheetView zoomScale="110" zoomScaleNormal="110" workbookViewId="0">
      <selection activeCell="D21" sqref="D21"/>
    </sheetView>
  </sheetViews>
  <sheetFormatPr defaultColWidth="9.140625" defaultRowHeight="15.75" outlineLevelRow="1"/>
  <cols>
    <col min="1" max="1" width="2.85546875" style="88" customWidth="1"/>
    <col min="2" max="2" width="55.5703125" style="88" customWidth="1"/>
    <col min="3" max="3" width="25" style="91" customWidth="1"/>
    <col min="4" max="4" width="9.85546875" style="91" customWidth="1"/>
    <col min="5" max="5" width="9.5703125" style="91" customWidth="1"/>
    <col min="6" max="6" width="9.42578125" style="91" customWidth="1"/>
    <col min="7" max="7" width="9.85546875" style="88" customWidth="1"/>
    <col min="8" max="8" width="10.42578125" style="88" customWidth="1"/>
    <col min="9" max="9" width="9.7109375" style="88" customWidth="1"/>
    <col min="10" max="10" width="11.85546875" style="274" customWidth="1"/>
    <col min="11" max="13" width="9.140625" style="274"/>
    <col min="14" max="14" width="13.85546875" style="274" customWidth="1"/>
    <col min="15" max="15" width="12.85546875" style="274" customWidth="1"/>
    <col min="16" max="16" width="14.28515625" style="274" customWidth="1"/>
    <col min="17" max="17" width="16.28515625" style="274" customWidth="1"/>
    <col min="18" max="18" width="9.140625" style="274"/>
    <col min="19" max="16384" width="9.140625" style="88"/>
  </cols>
  <sheetData>
    <row r="1" spans="1:18">
      <c r="B1" s="252" t="s">
        <v>135</v>
      </c>
      <c r="C1" s="252"/>
      <c r="D1" s="252"/>
      <c r="E1" s="252"/>
      <c r="F1" s="252"/>
      <c r="G1" s="252"/>
      <c r="H1" s="252"/>
      <c r="I1" s="252"/>
    </row>
    <row r="2" spans="1:18" ht="9" customHeight="1">
      <c r="B2" s="89"/>
      <c r="C2" s="89"/>
      <c r="D2" s="89"/>
      <c r="E2" s="89"/>
      <c r="F2" s="89"/>
      <c r="G2" s="89"/>
      <c r="H2" s="89"/>
      <c r="I2" s="89"/>
    </row>
    <row r="3" spans="1:18" ht="19.5" customHeight="1">
      <c r="A3" s="90"/>
      <c r="B3" s="253" t="s">
        <v>180</v>
      </c>
      <c r="C3" s="253"/>
      <c r="D3" s="253"/>
      <c r="E3" s="253"/>
      <c r="F3" s="253"/>
      <c r="G3" s="253"/>
      <c r="H3" s="253"/>
      <c r="I3" s="253"/>
    </row>
    <row r="4" spans="1:18" ht="17.25" customHeight="1">
      <c r="A4" s="90"/>
      <c r="B4" s="253"/>
      <c r="C4" s="253"/>
      <c r="D4" s="253"/>
      <c r="E4" s="253"/>
      <c r="F4" s="253"/>
      <c r="G4" s="253"/>
      <c r="H4" s="253"/>
      <c r="I4" s="253"/>
    </row>
    <row r="5" spans="1:18" ht="8.25" customHeight="1"/>
    <row r="6" spans="1:18">
      <c r="B6" s="129" t="s">
        <v>0</v>
      </c>
      <c r="C6" s="138"/>
      <c r="D6" s="260" t="s">
        <v>41</v>
      </c>
      <c r="E6" s="260"/>
      <c r="F6" s="260"/>
    </row>
    <row r="7" spans="1:18">
      <c r="B7" s="129" t="s">
        <v>1</v>
      </c>
      <c r="C7" s="138"/>
      <c r="D7" s="141">
        <v>1963</v>
      </c>
      <c r="E7" s="141"/>
      <c r="F7" s="141"/>
    </row>
    <row r="8" spans="1:18" hidden="1" outlineLevel="1">
      <c r="B8" s="129" t="s">
        <v>2</v>
      </c>
      <c r="C8" s="138"/>
      <c r="D8" s="141">
        <v>4</v>
      </c>
      <c r="E8" s="141"/>
      <c r="F8" s="141"/>
    </row>
    <row r="9" spans="1:18" hidden="1" outlineLevel="1">
      <c r="B9" s="129" t="s">
        <v>3</v>
      </c>
      <c r="C9" s="138"/>
      <c r="D9" s="141">
        <v>29</v>
      </c>
      <c r="E9" s="141"/>
      <c r="F9" s="141"/>
    </row>
    <row r="10" spans="1:18" ht="30.75" hidden="1" customHeight="1" outlineLevel="1">
      <c r="B10" s="142" t="s">
        <v>4</v>
      </c>
      <c r="C10" s="143"/>
      <c r="D10" s="141" t="s">
        <v>42</v>
      </c>
      <c r="E10" s="141"/>
      <c r="F10" s="141"/>
    </row>
    <row r="11" spans="1:18" collapsed="1">
      <c r="B11" s="129" t="s">
        <v>5</v>
      </c>
      <c r="C11" s="138"/>
      <c r="D11" s="141" t="s">
        <v>120</v>
      </c>
      <c r="E11" s="141"/>
      <c r="F11" s="141"/>
      <c r="J11" s="276"/>
    </row>
    <row r="12" spans="1:18" hidden="1" outlineLevel="1">
      <c r="B12" s="88" t="s">
        <v>6</v>
      </c>
      <c r="D12" s="92" t="s">
        <v>43</v>
      </c>
      <c r="E12" s="92"/>
      <c r="F12" s="92"/>
    </row>
    <row r="13" spans="1:18" ht="30.75" hidden="1" customHeight="1" outlineLevel="1">
      <c r="B13" s="93" t="s">
        <v>8</v>
      </c>
      <c r="C13" s="94"/>
      <c r="D13" s="261" t="s">
        <v>44</v>
      </c>
      <c r="E13" s="261"/>
      <c r="F13" s="92"/>
      <c r="J13" s="276"/>
    </row>
    <row r="14" spans="1:18" ht="18.75" customHeight="1" collapsed="1" thickBot="1">
      <c r="B14" s="263" t="s">
        <v>144</v>
      </c>
      <c r="C14" s="263"/>
      <c r="D14" s="263"/>
      <c r="E14" s="263"/>
      <c r="F14" s="263"/>
      <c r="G14" s="263"/>
      <c r="H14" s="263"/>
      <c r="I14" s="263"/>
      <c r="M14" s="276"/>
      <c r="N14" s="277" t="s">
        <v>99</v>
      </c>
      <c r="O14" s="277" t="s">
        <v>100</v>
      </c>
      <c r="P14" s="277" t="s">
        <v>101</v>
      </c>
      <c r="Q14" s="277" t="s">
        <v>102</v>
      </c>
    </row>
    <row r="15" spans="1:18" ht="38.25" customHeight="1">
      <c r="B15" s="264" t="s">
        <v>97</v>
      </c>
      <c r="C15" s="239" t="s">
        <v>103</v>
      </c>
      <c r="D15" s="239" t="s">
        <v>130</v>
      </c>
      <c r="E15" s="241" t="s">
        <v>149</v>
      </c>
      <c r="F15" s="243" t="s">
        <v>150</v>
      </c>
      <c r="G15" s="245" t="s">
        <v>104</v>
      </c>
      <c r="H15" s="246"/>
      <c r="I15" s="232" t="s">
        <v>151</v>
      </c>
      <c r="M15" s="276"/>
      <c r="N15" s="277"/>
      <c r="O15" s="277"/>
      <c r="P15" s="277"/>
      <c r="Q15" s="277"/>
    </row>
    <row r="16" spans="1:18" ht="38.25" customHeight="1" thickBot="1">
      <c r="B16" s="265"/>
      <c r="C16" s="240"/>
      <c r="D16" s="240"/>
      <c r="E16" s="242"/>
      <c r="F16" s="244"/>
      <c r="G16" s="96" t="s">
        <v>84</v>
      </c>
      <c r="H16" s="97" t="s">
        <v>85</v>
      </c>
      <c r="I16" s="233"/>
      <c r="N16" s="278">
        <v>88105.08</v>
      </c>
      <c r="O16" s="278">
        <f>182859.68-N16</f>
        <v>94754.599999999991</v>
      </c>
      <c r="P16" s="278">
        <f>76694.51</f>
        <v>76694.509999999995</v>
      </c>
      <c r="Q16" s="278">
        <f>87412.12</f>
        <v>87412.12</v>
      </c>
      <c r="R16" s="274">
        <f>(N16+O16)/(P16+Q16)</f>
        <v>1.1142735671313218</v>
      </c>
    </row>
    <row r="17" spans="2:17" ht="45">
      <c r="B17" s="98" t="s">
        <v>174</v>
      </c>
      <c r="C17" s="99" t="s">
        <v>169</v>
      </c>
      <c r="D17" s="100" t="s">
        <v>106</v>
      </c>
      <c r="E17" s="101">
        <v>1.05</v>
      </c>
      <c r="F17" s="101">
        <v>1.06</v>
      </c>
      <c r="G17" s="102">
        <f>($N$16/$N$17*E17)+($O$16/$O$17*F17)</f>
        <v>17537.905438596492</v>
      </c>
      <c r="H17" s="103">
        <f>($P$16/$P$17*E17)+($Q$16/$Q$17*F17)</f>
        <v>15724.891302714332</v>
      </c>
      <c r="I17" s="104">
        <f>G17-H17</f>
        <v>1813.0141358821602</v>
      </c>
      <c r="J17" s="279"/>
      <c r="K17" s="280"/>
      <c r="L17" s="280"/>
      <c r="M17" s="281"/>
      <c r="N17" s="282">
        <f>E27-E25-E23</f>
        <v>10.6</v>
      </c>
      <c r="O17" s="282">
        <f>F27-F25-F23</f>
        <v>11.400000000000002</v>
      </c>
      <c r="P17" s="282">
        <f>E27-E25-E23</f>
        <v>10.6</v>
      </c>
      <c r="Q17" s="282">
        <f>F27-F25-F23</f>
        <v>11.400000000000002</v>
      </c>
    </row>
    <row r="18" spans="2:17" ht="51">
      <c r="B18" s="105" t="s">
        <v>175</v>
      </c>
      <c r="C18" s="99" t="s">
        <v>169</v>
      </c>
      <c r="D18" s="100" t="s">
        <v>106</v>
      </c>
      <c r="E18" s="106">
        <v>1.17</v>
      </c>
      <c r="F18" s="106">
        <v>1.19</v>
      </c>
      <c r="G18" s="102">
        <f t="shared" ref="G18:G26" si="0">($N$16/$N$17*E18)+($O$16/$O$17*F18)</f>
        <v>19615.856350877191</v>
      </c>
      <c r="H18" s="103">
        <f t="shared" ref="H18:H22" si="1">($P$16/$P$17*E18)+($Q$16/$Q$17*F18)</f>
        <v>17589.935915756367</v>
      </c>
      <c r="I18" s="104">
        <f t="shared" ref="I18:I24" si="2">G18-H18</f>
        <v>2025.9204351208245</v>
      </c>
      <c r="J18" s="283"/>
      <c r="K18" s="284"/>
      <c r="L18" s="284"/>
      <c r="M18" s="284"/>
      <c r="N18" s="285"/>
      <c r="O18" s="284"/>
      <c r="P18" s="284"/>
      <c r="Q18" s="284"/>
    </row>
    <row r="19" spans="2:17" ht="50.25" customHeight="1">
      <c r="B19" s="107" t="s">
        <v>86</v>
      </c>
      <c r="C19" s="99" t="s">
        <v>169</v>
      </c>
      <c r="D19" s="100" t="s">
        <v>106</v>
      </c>
      <c r="E19" s="106">
        <v>0.27</v>
      </c>
      <c r="F19" s="106">
        <v>0.32</v>
      </c>
      <c r="G19" s="102">
        <f t="shared" si="0"/>
        <v>4903.9642456140355</v>
      </c>
      <c r="H19" s="103">
        <f t="shared" si="1"/>
        <v>4407.2129495200261</v>
      </c>
      <c r="I19" s="104">
        <f t="shared" si="2"/>
        <v>496.75129609400938</v>
      </c>
      <c r="J19" s="286"/>
      <c r="M19" s="276"/>
    </row>
    <row r="20" spans="2:17" ht="28.5" customHeight="1">
      <c r="B20" s="107" t="s">
        <v>87</v>
      </c>
      <c r="C20" s="108" t="s">
        <v>107</v>
      </c>
      <c r="D20" s="100" t="s">
        <v>106</v>
      </c>
      <c r="E20" s="106">
        <v>0.2</v>
      </c>
      <c r="F20" s="106">
        <v>0.2</v>
      </c>
      <c r="G20" s="102">
        <f t="shared" si="0"/>
        <v>3324.7214035087718</v>
      </c>
      <c r="H20" s="103">
        <f t="shared" si="1"/>
        <v>2980.6121913273746</v>
      </c>
      <c r="I20" s="104">
        <f t="shared" si="2"/>
        <v>344.1092121813972</v>
      </c>
      <c r="J20" s="286"/>
      <c r="M20" s="276"/>
    </row>
    <row r="21" spans="2:17" ht="51">
      <c r="B21" s="105" t="s">
        <v>176</v>
      </c>
      <c r="C21" s="99" t="s">
        <v>170</v>
      </c>
      <c r="D21" s="100" t="s">
        <v>106</v>
      </c>
      <c r="E21" s="106">
        <v>1.33</v>
      </c>
      <c r="F21" s="106">
        <v>1.18</v>
      </c>
      <c r="G21" s="102">
        <f t="shared" si="0"/>
        <v>20862.626280701752</v>
      </c>
      <c r="H21" s="103">
        <f t="shared" si="1"/>
        <v>18670.91159864283</v>
      </c>
      <c r="I21" s="104">
        <f t="shared" si="2"/>
        <v>2191.7146820589223</v>
      </c>
      <c r="J21" s="286"/>
    </row>
    <row r="22" spans="2:17" ht="210.75" customHeight="1">
      <c r="B22" s="105" t="s">
        <v>177</v>
      </c>
      <c r="C22" s="109" t="s">
        <v>109</v>
      </c>
      <c r="D22" s="100" t="s">
        <v>106</v>
      </c>
      <c r="E22" s="106">
        <v>5.6</v>
      </c>
      <c r="F22" s="106">
        <v>5.61</v>
      </c>
      <c r="G22" s="102">
        <f t="shared" si="0"/>
        <v>93175.317368421034</v>
      </c>
      <c r="H22" s="103">
        <f t="shared" si="1"/>
        <v>83533.818655412106</v>
      </c>
      <c r="I22" s="104">
        <f t="shared" si="2"/>
        <v>9641.4987130089285</v>
      </c>
      <c r="J22" s="283"/>
      <c r="K22" s="284"/>
      <c r="L22" s="284"/>
      <c r="M22" s="285"/>
      <c r="N22" s="284"/>
      <c r="O22" s="284"/>
      <c r="P22" s="284"/>
      <c r="Q22" s="284"/>
    </row>
    <row r="23" spans="2:17" ht="19.5" customHeight="1">
      <c r="B23" s="107" t="s">
        <v>108</v>
      </c>
      <c r="C23" s="109" t="s">
        <v>107</v>
      </c>
      <c r="D23" s="100" t="s">
        <v>106</v>
      </c>
      <c r="E23" s="106">
        <v>2</v>
      </c>
      <c r="F23" s="106">
        <v>2</v>
      </c>
      <c r="G23" s="102">
        <v>33247.199999999997</v>
      </c>
      <c r="H23" s="110">
        <v>29732.11</v>
      </c>
      <c r="I23" s="104">
        <f>H23-G23</f>
        <v>-3515.0899999999965</v>
      </c>
      <c r="J23" s="286"/>
    </row>
    <row r="24" spans="2:17" ht="106.5" customHeight="1">
      <c r="B24" s="105" t="s">
        <v>178</v>
      </c>
      <c r="C24" s="99" t="s">
        <v>169</v>
      </c>
      <c r="D24" s="100" t="s">
        <v>106</v>
      </c>
      <c r="E24" s="106">
        <v>0.21</v>
      </c>
      <c r="F24" s="106">
        <v>0.24</v>
      </c>
      <c r="G24" s="102">
        <f t="shared" si="0"/>
        <v>3740.3116842105255</v>
      </c>
      <c r="H24" s="103">
        <f t="shared" ref="H24" si="3">($P$16/$P$17*E24)+($Q$16/$Q$17*F24)</f>
        <v>3359.6746956305851</v>
      </c>
      <c r="I24" s="104">
        <f t="shared" si="2"/>
        <v>380.63698857994041</v>
      </c>
      <c r="J24" s="286"/>
    </row>
    <row r="25" spans="2:17" ht="60" customHeight="1">
      <c r="B25" s="107" t="s">
        <v>94</v>
      </c>
      <c r="C25" s="99" t="s">
        <v>169</v>
      </c>
      <c r="D25" s="100" t="s">
        <v>106</v>
      </c>
      <c r="E25" s="106">
        <v>3.4</v>
      </c>
      <c r="F25" s="106">
        <v>3.61</v>
      </c>
      <c r="G25" s="102">
        <v>58265.74</v>
      </c>
      <c r="H25" s="110">
        <v>13986</v>
      </c>
      <c r="I25" s="104">
        <f>G25-H25</f>
        <v>44279.74</v>
      </c>
      <c r="J25" s="286"/>
      <c r="M25" s="276"/>
    </row>
    <row r="26" spans="2:17" ht="16.5" thickBot="1">
      <c r="B26" s="111" t="s">
        <v>88</v>
      </c>
      <c r="C26" s="112" t="s">
        <v>109</v>
      </c>
      <c r="D26" s="113" t="s">
        <v>106</v>
      </c>
      <c r="E26" s="114">
        <v>0.77</v>
      </c>
      <c r="F26" s="114">
        <v>1.6</v>
      </c>
      <c r="G26" s="115">
        <f t="shared" si="0"/>
        <v>19698.977228070173</v>
      </c>
      <c r="H26" s="116">
        <f t="shared" ref="H26" si="4">($P$16/$P$17*E26)+($Q$16/$Q$17*F26)</f>
        <v>17839.572690996356</v>
      </c>
      <c r="I26" s="104">
        <f>G26-H26</f>
        <v>1859.4045370738168</v>
      </c>
      <c r="J26" s="286"/>
    </row>
    <row r="27" spans="2:17" ht="16.5" thickBot="1">
      <c r="B27" s="117" t="s">
        <v>92</v>
      </c>
      <c r="C27" s="118"/>
      <c r="D27" s="118"/>
      <c r="E27" s="119">
        <f>SUM(E17:E26)</f>
        <v>16</v>
      </c>
      <c r="F27" s="120">
        <f>SUM(F17:F26)</f>
        <v>17.010000000000002</v>
      </c>
      <c r="G27" s="121">
        <f>SUM(G17:G26)</f>
        <v>274372.62</v>
      </c>
      <c r="H27" s="122">
        <f>SUM(H17:H26)</f>
        <v>207824.74</v>
      </c>
      <c r="I27" s="123">
        <f>SUM(I17:I26)</f>
        <v>59517.7</v>
      </c>
      <c r="J27" s="286"/>
    </row>
    <row r="28" spans="2:17">
      <c r="B28" s="95"/>
      <c r="C28" s="95"/>
      <c r="D28" s="95"/>
      <c r="E28" s="124"/>
      <c r="F28" s="124"/>
      <c r="G28" s="124"/>
      <c r="H28" s="124"/>
      <c r="I28" s="91"/>
    </row>
    <row r="29" spans="2:17" ht="16.5" customHeight="1" thickBot="1">
      <c r="B29" s="236" t="s">
        <v>143</v>
      </c>
      <c r="C29" s="236"/>
      <c r="D29" s="236"/>
      <c r="E29" s="236"/>
      <c r="F29" s="236"/>
      <c r="G29" s="236"/>
      <c r="H29" s="236"/>
      <c r="I29" s="236"/>
      <c r="J29" s="287"/>
      <c r="K29" s="287"/>
    </row>
    <row r="30" spans="2:17" ht="47.25" customHeight="1">
      <c r="B30" s="125"/>
      <c r="C30" s="126"/>
      <c r="D30" s="237" t="s">
        <v>110</v>
      </c>
      <c r="E30" s="238"/>
      <c r="F30" s="234" t="s">
        <v>9</v>
      </c>
      <c r="G30" s="262"/>
      <c r="H30" s="234" t="s">
        <v>10</v>
      </c>
      <c r="I30" s="235"/>
      <c r="J30" s="288"/>
      <c r="K30" s="289"/>
      <c r="L30" s="290"/>
      <c r="M30" s="291"/>
      <c r="N30" s="292"/>
      <c r="O30" s="292"/>
      <c r="P30" s="292"/>
      <c r="Q30" s="292"/>
    </row>
    <row r="31" spans="2:17">
      <c r="B31" s="127" t="s">
        <v>11</v>
      </c>
      <c r="C31" s="128"/>
      <c r="D31" s="227">
        <f>F31+H31</f>
        <v>274372.62</v>
      </c>
      <c r="E31" s="228"/>
      <c r="F31" s="227">
        <f>182859.68+33247.2</f>
        <v>216106.88</v>
      </c>
      <c r="G31" s="228"/>
      <c r="H31" s="227">
        <f>G25</f>
        <v>58265.74</v>
      </c>
      <c r="I31" s="231"/>
      <c r="J31" s="293"/>
      <c r="K31" s="298"/>
      <c r="L31" s="295">
        <v>34731.57</v>
      </c>
      <c r="M31" s="295">
        <v>309104.19</v>
      </c>
      <c r="N31" s="296">
        <f>M31-L31</f>
        <v>274372.62</v>
      </c>
      <c r="O31" s="297">
        <f>N31-D31</f>
        <v>0</v>
      </c>
    </row>
    <row r="32" spans="2:17">
      <c r="B32" s="127" t="s">
        <v>12</v>
      </c>
      <c r="C32" s="128"/>
      <c r="D32" s="227">
        <f>F32+H32</f>
        <v>240873.5</v>
      </c>
      <c r="E32" s="228"/>
      <c r="F32" s="227">
        <f>160173.32+29732.11</f>
        <v>189905.43</v>
      </c>
      <c r="G32" s="228"/>
      <c r="H32" s="227">
        <v>50968.07</v>
      </c>
      <c r="I32" s="231"/>
      <c r="J32" s="293"/>
      <c r="K32" s="298"/>
      <c r="L32" s="299">
        <v>525.70000000000005</v>
      </c>
      <c r="M32" s="295">
        <v>241399.2</v>
      </c>
      <c r="N32" s="296">
        <f>M32-L32</f>
        <v>240873.5</v>
      </c>
      <c r="O32" s="297">
        <f>N32-D32</f>
        <v>0</v>
      </c>
    </row>
    <row r="33" spans="2:17" ht="16.5" thickBot="1">
      <c r="B33" s="130" t="s">
        <v>91</v>
      </c>
      <c r="C33" s="131"/>
      <c r="D33" s="229">
        <f>F33+H33</f>
        <v>207824.74</v>
      </c>
      <c r="E33" s="230"/>
      <c r="F33" s="229">
        <f>H17+H18+H19+H20+H21+H22+H23+H24+H26</f>
        <v>193838.74</v>
      </c>
      <c r="G33" s="230"/>
      <c r="H33" s="229">
        <f>H25</f>
        <v>13986</v>
      </c>
      <c r="I33" s="255"/>
      <c r="J33" s="293"/>
      <c r="K33" s="298"/>
      <c r="L33" s="286"/>
      <c r="M33" s="286"/>
    </row>
    <row r="34" spans="2:17" ht="30" customHeight="1" thickBot="1">
      <c r="B34" s="132" t="s">
        <v>179</v>
      </c>
      <c r="C34" s="133"/>
      <c r="D34" s="258">
        <f>F34+H34</f>
        <v>33048.76</v>
      </c>
      <c r="E34" s="259"/>
      <c r="F34" s="250">
        <f>F32-F33</f>
        <v>-3933.3099999999977</v>
      </c>
      <c r="G34" s="251"/>
      <c r="H34" s="250">
        <f>H32-H33</f>
        <v>36982.07</v>
      </c>
      <c r="I34" s="256"/>
      <c r="J34" s="293"/>
      <c r="K34" s="298"/>
      <c r="L34" s="286"/>
      <c r="M34" s="286"/>
    </row>
    <row r="35" spans="2:17" ht="30.75" customHeight="1">
      <c r="B35" s="134" t="s">
        <v>79</v>
      </c>
      <c r="C35" s="134"/>
      <c r="D35" s="134"/>
      <c r="E35" s="257" t="s">
        <v>80</v>
      </c>
      <c r="F35" s="257"/>
      <c r="G35" s="249" t="s">
        <v>13</v>
      </c>
      <c r="H35" s="249"/>
      <c r="I35" s="144"/>
      <c r="J35" s="300"/>
      <c r="K35" s="284"/>
      <c r="L35" s="284"/>
      <c r="M35" s="284"/>
      <c r="N35" s="284"/>
      <c r="O35" s="284"/>
      <c r="P35" s="284"/>
      <c r="Q35" s="284"/>
    </row>
    <row r="36" spans="2:17" ht="10.5" customHeight="1">
      <c r="B36" s="134"/>
      <c r="C36" s="134"/>
      <c r="D36" s="134"/>
      <c r="E36" s="247" t="s">
        <v>14</v>
      </c>
      <c r="F36" s="247"/>
      <c r="G36" s="254"/>
      <c r="H36" s="254"/>
      <c r="I36" s="144"/>
      <c r="J36" s="300"/>
      <c r="K36" s="284"/>
      <c r="L36" s="284"/>
      <c r="M36" s="284"/>
      <c r="N36" s="284"/>
      <c r="O36" s="284"/>
      <c r="P36" s="284"/>
      <c r="Q36" s="284"/>
    </row>
    <row r="37" spans="2:17">
      <c r="B37" s="134" t="s">
        <v>81</v>
      </c>
      <c r="C37" s="134"/>
      <c r="D37" s="134"/>
      <c r="E37" s="248" t="s">
        <v>80</v>
      </c>
      <c r="F37" s="248"/>
      <c r="G37" s="249" t="s">
        <v>96</v>
      </c>
      <c r="H37" s="249"/>
      <c r="I37" s="144"/>
      <c r="J37" s="300"/>
      <c r="K37" s="284"/>
      <c r="L37" s="284"/>
      <c r="M37" s="284"/>
      <c r="N37" s="284"/>
      <c r="O37" s="284"/>
      <c r="P37" s="284"/>
      <c r="Q37" s="284"/>
    </row>
    <row r="38" spans="2:17" ht="9.75" customHeight="1">
      <c r="B38" s="134"/>
      <c r="C38" s="134"/>
      <c r="D38" s="134"/>
      <c r="E38" s="247" t="s">
        <v>14</v>
      </c>
      <c r="F38" s="247"/>
      <c r="G38" s="249"/>
      <c r="H38" s="249"/>
      <c r="I38" s="144"/>
      <c r="J38" s="300"/>
    </row>
    <row r="39" spans="2:17">
      <c r="B39" s="134" t="s">
        <v>82</v>
      </c>
      <c r="C39" s="134"/>
      <c r="D39" s="134"/>
      <c r="E39" s="248" t="s">
        <v>80</v>
      </c>
      <c r="F39" s="248"/>
      <c r="G39" s="249" t="s">
        <v>98</v>
      </c>
      <c r="H39" s="249"/>
      <c r="I39" s="144"/>
      <c r="J39" s="300"/>
    </row>
    <row r="40" spans="2:17" ht="10.5" customHeight="1">
      <c r="B40" s="135"/>
      <c r="C40" s="135"/>
      <c r="D40" s="135"/>
      <c r="E40" s="247" t="s">
        <v>14</v>
      </c>
      <c r="F40" s="247"/>
      <c r="G40" s="136"/>
      <c r="H40" s="137"/>
      <c r="I40" s="138"/>
      <c r="J40" s="296"/>
    </row>
    <row r="41" spans="2:17">
      <c r="B41" s="134" t="s">
        <v>83</v>
      </c>
      <c r="C41" s="134"/>
      <c r="D41" s="134"/>
      <c r="E41" s="248" t="s">
        <v>80</v>
      </c>
      <c r="F41" s="248"/>
      <c r="G41" s="249" t="s">
        <v>142</v>
      </c>
      <c r="H41" s="249"/>
      <c r="I41" s="144"/>
      <c r="J41" s="300"/>
    </row>
    <row r="42" spans="2:17" ht="12.75" customHeight="1">
      <c r="B42" s="139"/>
      <c r="C42" s="139"/>
      <c r="D42" s="139"/>
      <c r="E42" s="247" t="s">
        <v>14</v>
      </c>
      <c r="F42" s="247"/>
      <c r="G42" s="247"/>
      <c r="H42" s="247"/>
      <c r="I42" s="91"/>
      <c r="J42" s="292"/>
    </row>
    <row r="43" spans="2:17">
      <c r="C43" s="124"/>
      <c r="E43" s="140"/>
      <c r="F43" s="140"/>
    </row>
    <row r="44" spans="2:17">
      <c r="C44" s="124"/>
    </row>
    <row r="45" spans="2:17">
      <c r="C45" s="124"/>
    </row>
    <row r="46" spans="2:17">
      <c r="C46" s="124"/>
    </row>
  </sheetData>
  <mergeCells count="43">
    <mergeCell ref="B1:I1"/>
    <mergeCell ref="B3:I4"/>
    <mergeCell ref="E39:F39"/>
    <mergeCell ref="G39:H39"/>
    <mergeCell ref="E36:F36"/>
    <mergeCell ref="G36:H36"/>
    <mergeCell ref="H33:I33"/>
    <mergeCell ref="H34:I34"/>
    <mergeCell ref="E35:F35"/>
    <mergeCell ref="G35:H35"/>
    <mergeCell ref="D34:E34"/>
    <mergeCell ref="D6:F6"/>
    <mergeCell ref="D13:E13"/>
    <mergeCell ref="F30:G30"/>
    <mergeCell ref="B14:I14"/>
    <mergeCell ref="B15:B16"/>
    <mergeCell ref="E42:F42"/>
    <mergeCell ref="G42:H42"/>
    <mergeCell ref="E41:F41"/>
    <mergeCell ref="G41:H41"/>
    <mergeCell ref="F34:G34"/>
    <mergeCell ref="E40:F40"/>
    <mergeCell ref="E37:F37"/>
    <mergeCell ref="G37:H37"/>
    <mergeCell ref="E38:F38"/>
    <mergeCell ref="G38:H38"/>
    <mergeCell ref="I15:I16"/>
    <mergeCell ref="H30:I30"/>
    <mergeCell ref="B29:I29"/>
    <mergeCell ref="D30:E30"/>
    <mergeCell ref="D31:E31"/>
    <mergeCell ref="C15:C16"/>
    <mergeCell ref="D15:D16"/>
    <mergeCell ref="E15:E16"/>
    <mergeCell ref="F15:F16"/>
    <mergeCell ref="G15:H15"/>
    <mergeCell ref="D32:E32"/>
    <mergeCell ref="D33:E33"/>
    <mergeCell ref="F31:G31"/>
    <mergeCell ref="H31:I31"/>
    <mergeCell ref="H32:I32"/>
    <mergeCell ref="F32:G32"/>
    <mergeCell ref="F33:G33"/>
  </mergeCells>
  <printOptions horizontalCentered="1"/>
  <pageMargins left="0.19685039370078741" right="0.19685039370078741" top="0.15748031496062992" bottom="0.23622047244094491" header="0.31496062992125984" footer="0.31496062992125984"/>
  <pageSetup paperSize="9" scale="4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Q46"/>
  <sheetViews>
    <sheetView zoomScale="110" zoomScaleNormal="110" workbookViewId="0">
      <selection activeCell="C22" sqref="C22"/>
    </sheetView>
  </sheetViews>
  <sheetFormatPr defaultColWidth="9.140625" defaultRowHeight="15.75" outlineLevelRow="1"/>
  <cols>
    <col min="1" max="1" width="2.85546875" style="2" customWidth="1"/>
    <col min="2" max="2" width="55.140625" style="2" customWidth="1"/>
    <col min="3" max="3" width="13" style="12" customWidth="1"/>
    <col min="4" max="4" width="8.5703125" style="4" customWidth="1"/>
    <col min="5" max="5" width="10.5703125" style="4" customWidth="1"/>
    <col min="6" max="6" width="10.140625" style="4" customWidth="1"/>
    <col min="7" max="7" width="10.28515625" style="2" customWidth="1"/>
    <col min="8" max="8" width="10.42578125" style="2" customWidth="1"/>
    <col min="9" max="9" width="10.140625" style="2" customWidth="1"/>
    <col min="10" max="10" width="11.85546875" style="274" customWidth="1"/>
    <col min="11" max="13" width="9.140625" style="274"/>
    <col min="14" max="14" width="16.42578125" style="274" customWidth="1"/>
    <col min="15" max="15" width="14.28515625" style="274" customWidth="1"/>
    <col min="16" max="16" width="15.85546875" style="274" customWidth="1"/>
    <col min="17" max="17" width="15.28515625" style="274" customWidth="1"/>
    <col min="18" max="16384" width="9.140625" style="2"/>
  </cols>
  <sheetData>
    <row r="1" spans="1:10">
      <c r="B1" s="168" t="s">
        <v>138</v>
      </c>
      <c r="C1" s="168"/>
      <c r="D1" s="168"/>
      <c r="E1" s="168"/>
      <c r="F1" s="168"/>
      <c r="G1" s="168"/>
      <c r="H1" s="168"/>
      <c r="I1" s="168"/>
    </row>
    <row r="2" spans="1:10">
      <c r="B2" s="168" t="s">
        <v>139</v>
      </c>
      <c r="C2" s="168"/>
      <c r="D2" s="168"/>
      <c r="E2" s="168"/>
      <c r="F2" s="168"/>
      <c r="G2" s="168"/>
      <c r="H2" s="168"/>
      <c r="I2" s="168"/>
    </row>
    <row r="3" spans="1:10">
      <c r="B3" s="168" t="s">
        <v>140</v>
      </c>
      <c r="C3" s="168"/>
      <c r="D3" s="168"/>
      <c r="E3" s="168"/>
      <c r="F3" s="168"/>
      <c r="G3" s="168"/>
      <c r="H3" s="168"/>
      <c r="I3" s="168"/>
    </row>
    <row r="4" spans="1:10" ht="15.75" customHeight="1">
      <c r="B4" s="168" t="s">
        <v>148</v>
      </c>
      <c r="C4" s="168"/>
      <c r="D4" s="168"/>
      <c r="E4" s="168"/>
      <c r="F4" s="168"/>
      <c r="G4" s="168"/>
      <c r="H4" s="168"/>
      <c r="I4" s="168"/>
    </row>
    <row r="5" spans="1:10" ht="9" customHeight="1">
      <c r="B5" s="66"/>
      <c r="C5" s="66"/>
      <c r="D5" s="66"/>
      <c r="E5" s="66"/>
      <c r="F5" s="66"/>
      <c r="G5" s="66"/>
      <c r="H5" s="66"/>
      <c r="I5" s="66"/>
    </row>
    <row r="6" spans="1:10" ht="15.75" customHeight="1">
      <c r="A6" s="10"/>
      <c r="B6" s="200" t="s">
        <v>141</v>
      </c>
      <c r="C6" s="200"/>
      <c r="D6" s="200"/>
      <c r="E6" s="200"/>
      <c r="F6" s="200"/>
      <c r="G6" s="200"/>
      <c r="H6" s="200"/>
      <c r="I6" s="200"/>
    </row>
    <row r="7" spans="1:10" ht="21" customHeight="1">
      <c r="A7" s="10"/>
      <c r="B7" s="200"/>
      <c r="C7" s="200"/>
      <c r="D7" s="200"/>
      <c r="E7" s="200"/>
      <c r="F7" s="200"/>
      <c r="G7" s="200"/>
      <c r="H7" s="200"/>
      <c r="I7" s="200"/>
    </row>
    <row r="8" spans="1:10" ht="9" customHeight="1"/>
    <row r="9" spans="1:10">
      <c r="B9" s="6" t="s">
        <v>0</v>
      </c>
      <c r="C9" s="62"/>
      <c r="D9" s="207" t="s">
        <v>45</v>
      </c>
      <c r="E9" s="207"/>
      <c r="F9" s="207"/>
    </row>
    <row r="10" spans="1:10">
      <c r="B10" s="6" t="s">
        <v>1</v>
      </c>
      <c r="C10" s="62"/>
      <c r="D10" s="63">
        <v>1963</v>
      </c>
      <c r="E10" s="63"/>
      <c r="F10" s="63"/>
    </row>
    <row r="11" spans="1:10" hidden="1" outlineLevel="1">
      <c r="B11" s="6" t="s">
        <v>2</v>
      </c>
      <c r="C11" s="62"/>
      <c r="D11" s="63">
        <v>4</v>
      </c>
      <c r="E11" s="63"/>
      <c r="F11" s="63"/>
    </row>
    <row r="12" spans="1:10" hidden="1" outlineLevel="1">
      <c r="B12" s="6" t="s">
        <v>3</v>
      </c>
      <c r="C12" s="62"/>
      <c r="D12" s="63">
        <v>63</v>
      </c>
      <c r="E12" s="63"/>
      <c r="F12" s="63"/>
    </row>
    <row r="13" spans="1:10" ht="30.75" hidden="1" customHeight="1" outlineLevel="1">
      <c r="B13" s="64" t="s">
        <v>4</v>
      </c>
      <c r="C13" s="65"/>
      <c r="D13" s="63" t="s">
        <v>46</v>
      </c>
      <c r="E13" s="63"/>
      <c r="F13" s="63"/>
    </row>
    <row r="14" spans="1:10" collapsed="1">
      <c r="B14" s="6" t="s">
        <v>5</v>
      </c>
      <c r="C14" s="62"/>
      <c r="D14" s="63" t="s">
        <v>122</v>
      </c>
      <c r="E14" s="63"/>
      <c r="F14" s="63"/>
      <c r="J14" s="276"/>
    </row>
    <row r="15" spans="1:10" hidden="1" outlineLevel="1">
      <c r="B15" s="2" t="s">
        <v>6</v>
      </c>
      <c r="D15" s="13" t="s">
        <v>7</v>
      </c>
      <c r="E15" s="13"/>
      <c r="F15" s="13"/>
    </row>
    <row r="16" spans="1:10" ht="30.75" hidden="1" customHeight="1" outlineLevel="1">
      <c r="B16" s="14" t="s">
        <v>8</v>
      </c>
      <c r="C16" s="15"/>
      <c r="D16" s="208" t="s">
        <v>47</v>
      </c>
      <c r="E16" s="208"/>
      <c r="F16" s="13"/>
      <c r="J16" s="276"/>
    </row>
    <row r="17" spans="2:17" ht="17.25" customHeight="1" collapsed="1" thickBot="1">
      <c r="B17" s="215" t="s">
        <v>144</v>
      </c>
      <c r="C17" s="215"/>
      <c r="D17" s="215"/>
      <c r="E17" s="215"/>
      <c r="F17" s="215"/>
      <c r="G17" s="215"/>
      <c r="H17" s="215"/>
      <c r="I17" s="215"/>
      <c r="M17" s="276"/>
      <c r="N17" s="277" t="s">
        <v>99</v>
      </c>
      <c r="O17" s="277" t="s">
        <v>100</v>
      </c>
      <c r="P17" s="277" t="s">
        <v>101</v>
      </c>
      <c r="Q17" s="277" t="s">
        <v>102</v>
      </c>
    </row>
    <row r="18" spans="2:17" ht="34.5" customHeight="1">
      <c r="B18" s="224" t="s">
        <v>97</v>
      </c>
      <c r="C18" s="218" t="s">
        <v>103</v>
      </c>
      <c r="D18" s="218" t="s">
        <v>121</v>
      </c>
      <c r="E18" s="175" t="s">
        <v>147</v>
      </c>
      <c r="F18" s="210" t="s">
        <v>146</v>
      </c>
      <c r="G18" s="213" t="s">
        <v>104</v>
      </c>
      <c r="H18" s="214"/>
      <c r="I18" s="201" t="s">
        <v>151</v>
      </c>
      <c r="M18" s="276"/>
      <c r="N18" s="277"/>
      <c r="O18" s="277"/>
      <c r="P18" s="277"/>
      <c r="Q18" s="277"/>
    </row>
    <row r="19" spans="2:17" ht="42" customHeight="1" thickBot="1">
      <c r="B19" s="225"/>
      <c r="C19" s="219"/>
      <c r="D19" s="219"/>
      <c r="E19" s="176"/>
      <c r="F19" s="211"/>
      <c r="G19" s="16" t="s">
        <v>84</v>
      </c>
      <c r="H19" s="17" t="s">
        <v>85</v>
      </c>
      <c r="I19" s="202"/>
      <c r="N19" s="278">
        <v>161922.82</v>
      </c>
      <c r="O19" s="278">
        <f>329672.51-N19</f>
        <v>167749.69</v>
      </c>
      <c r="P19" s="278">
        <v>141733.84</v>
      </c>
      <c r="Q19" s="278">
        <v>161540.31</v>
      </c>
    </row>
    <row r="20" spans="2:17" ht="48">
      <c r="B20" s="18" t="s">
        <v>89</v>
      </c>
      <c r="C20" s="19" t="s">
        <v>105</v>
      </c>
      <c r="D20" s="20" t="s">
        <v>106</v>
      </c>
      <c r="E20" s="21">
        <v>1.05</v>
      </c>
      <c r="F20" s="21">
        <v>1.06</v>
      </c>
      <c r="G20" s="22">
        <f>($N$19/$N$20*E20)+($O$19/$O$20*F20)</f>
        <v>31808.290238716676</v>
      </c>
      <c r="H20" s="23">
        <f>($P$19/$P$20*E20)+($Q$19/$Q$20*F20)</f>
        <v>29219.419539832961</v>
      </c>
      <c r="I20" s="24">
        <f>G20-H20</f>
        <v>2588.8706988837148</v>
      </c>
      <c r="J20" s="279"/>
      <c r="K20" s="280"/>
      <c r="L20" s="280"/>
      <c r="M20" s="281"/>
      <c r="N20" s="282">
        <f>E30-E28-E26</f>
        <v>10.559999999999999</v>
      </c>
      <c r="O20" s="282">
        <f>F30-F28-F26</f>
        <v>11.32</v>
      </c>
      <c r="P20" s="282">
        <f>E30-E28-E26</f>
        <v>10.559999999999999</v>
      </c>
      <c r="Q20" s="282">
        <f>F30-F28-F26</f>
        <v>11.32</v>
      </c>
    </row>
    <row r="21" spans="2:17" ht="51">
      <c r="B21" s="26" t="s">
        <v>93</v>
      </c>
      <c r="C21" s="19" t="s">
        <v>105</v>
      </c>
      <c r="D21" s="20" t="s">
        <v>106</v>
      </c>
      <c r="E21" s="27">
        <v>1.17</v>
      </c>
      <c r="F21" s="27">
        <v>1.19</v>
      </c>
      <c r="G21" s="22">
        <f t="shared" ref="G21:G29" si="0">($N$19/$N$20*E21)+($O$19/$O$20*F21)</f>
        <v>35574.77632127369</v>
      </c>
      <c r="H21" s="23">
        <f t="shared" ref="H21:H25" si="1">($P$19/$P$20*E21)+($Q$19/$Q$20*F21)</f>
        <v>32685.176260841632</v>
      </c>
      <c r="I21" s="24">
        <f t="shared" ref="I21:I27" si="2">G21-H21</f>
        <v>2889.6000604320579</v>
      </c>
      <c r="J21" s="283"/>
      <c r="K21" s="284"/>
      <c r="L21" s="284"/>
      <c r="M21" s="284"/>
      <c r="N21" s="285"/>
      <c r="O21" s="284"/>
      <c r="P21" s="284"/>
      <c r="Q21" s="284"/>
    </row>
    <row r="22" spans="2:17" ht="51.75" customHeight="1">
      <c r="B22" s="30" t="s">
        <v>86</v>
      </c>
      <c r="C22" s="19" t="s">
        <v>105</v>
      </c>
      <c r="D22" s="20" t="s">
        <v>106</v>
      </c>
      <c r="E22" s="27">
        <v>0.27</v>
      </c>
      <c r="F22" s="27">
        <v>0.32</v>
      </c>
      <c r="G22" s="22">
        <f t="shared" si="0"/>
        <v>8882.1128089865088</v>
      </c>
      <c r="H22" s="23">
        <f t="shared" si="1"/>
        <v>8190.3871209444278</v>
      </c>
      <c r="I22" s="24">
        <f t="shared" si="2"/>
        <v>691.72568804208095</v>
      </c>
      <c r="J22" s="286"/>
      <c r="M22" s="276"/>
    </row>
    <row r="23" spans="2:17" ht="25.5">
      <c r="B23" s="30" t="s">
        <v>87</v>
      </c>
      <c r="C23" s="32" t="s">
        <v>107</v>
      </c>
      <c r="D23" s="20" t="s">
        <v>106</v>
      </c>
      <c r="E23" s="27">
        <v>0.23</v>
      </c>
      <c r="F23" s="27">
        <v>0.22</v>
      </c>
      <c r="G23" s="22">
        <f t="shared" si="0"/>
        <v>6786.8810729869374</v>
      </c>
      <c r="H23" s="23">
        <f t="shared" si="1"/>
        <v>6226.4819742477785</v>
      </c>
      <c r="I23" s="24">
        <f t="shared" si="2"/>
        <v>560.39909873915894</v>
      </c>
      <c r="J23" s="286"/>
      <c r="M23" s="276"/>
    </row>
    <row r="24" spans="2:17" ht="51">
      <c r="B24" s="26" t="s">
        <v>90</v>
      </c>
      <c r="C24" s="19" t="s">
        <v>170</v>
      </c>
      <c r="D24" s="20" t="s">
        <v>106</v>
      </c>
      <c r="E24" s="27">
        <v>1.33</v>
      </c>
      <c r="F24" s="27">
        <v>1.18</v>
      </c>
      <c r="G24" s="22">
        <f t="shared" si="0"/>
        <v>37879.963609794955</v>
      </c>
      <c r="H24" s="23">
        <f t="shared" si="1"/>
        <v>34689.955231020453</v>
      </c>
      <c r="I24" s="24">
        <f t="shared" si="2"/>
        <v>3190.0083787745025</v>
      </c>
      <c r="J24" s="286"/>
    </row>
    <row r="25" spans="2:17" ht="213.75" customHeight="1">
      <c r="B25" s="26" t="s">
        <v>145</v>
      </c>
      <c r="C25" s="19" t="s">
        <v>109</v>
      </c>
      <c r="D25" s="20" t="s">
        <v>106</v>
      </c>
      <c r="E25" s="27">
        <v>5.6</v>
      </c>
      <c r="F25" s="27">
        <v>5.61</v>
      </c>
      <c r="G25" s="22">
        <f t="shared" si="0"/>
        <v>169002.0632607881</v>
      </c>
      <c r="H25" s="23">
        <f t="shared" si="1"/>
        <v>155218.52257816683</v>
      </c>
      <c r="I25" s="24">
        <f t="shared" si="2"/>
        <v>13783.540682621271</v>
      </c>
      <c r="J25" s="283"/>
      <c r="K25" s="284"/>
      <c r="L25" s="284"/>
      <c r="M25" s="285"/>
      <c r="N25" s="284"/>
      <c r="O25" s="284"/>
      <c r="P25" s="284"/>
      <c r="Q25" s="284"/>
    </row>
    <row r="26" spans="2:17" ht="24">
      <c r="B26" s="30" t="s">
        <v>108</v>
      </c>
      <c r="C26" s="19" t="s">
        <v>107</v>
      </c>
      <c r="D26" s="20" t="s">
        <v>106</v>
      </c>
      <c r="E26" s="27">
        <v>2</v>
      </c>
      <c r="F26" s="27">
        <v>2</v>
      </c>
      <c r="G26" s="22">
        <v>61334.400000000001</v>
      </c>
      <c r="H26" s="28">
        <v>59257.18</v>
      </c>
      <c r="I26" s="24">
        <f>H26-G26</f>
        <v>-2077.2200000000012</v>
      </c>
      <c r="J26" s="286"/>
    </row>
    <row r="27" spans="2:17" ht="111" customHeight="1">
      <c r="B27" s="26" t="s">
        <v>111</v>
      </c>
      <c r="C27" s="19" t="s">
        <v>105</v>
      </c>
      <c r="D27" s="20" t="s">
        <v>106</v>
      </c>
      <c r="E27" s="27">
        <v>0.21</v>
      </c>
      <c r="F27" s="27">
        <v>0.24</v>
      </c>
      <c r="G27" s="22">
        <f t="shared" si="0"/>
        <v>6776.5866095807905</v>
      </c>
      <c r="H27" s="23">
        <f t="shared" ref="H27" si="3">($P$19/$P$20*E27)+($Q$19/$Q$20*F27)</f>
        <v>6243.453579344683</v>
      </c>
      <c r="I27" s="24">
        <f t="shared" si="2"/>
        <v>533.13303023610752</v>
      </c>
      <c r="J27" s="286"/>
    </row>
    <row r="28" spans="2:17" ht="51" customHeight="1">
      <c r="B28" s="30" t="s">
        <v>94</v>
      </c>
      <c r="C28" s="19" t="s">
        <v>105</v>
      </c>
      <c r="D28" s="20" t="s">
        <v>106</v>
      </c>
      <c r="E28" s="27">
        <v>4.22</v>
      </c>
      <c r="F28" s="27">
        <v>4.47</v>
      </c>
      <c r="G28" s="22">
        <v>131332.32999999999</v>
      </c>
      <c r="H28" s="28">
        <v>147021</v>
      </c>
      <c r="I28" s="24">
        <f>G28-H28</f>
        <v>-15688.670000000013</v>
      </c>
      <c r="J28" s="286"/>
      <c r="M28" s="276"/>
    </row>
    <row r="29" spans="2:17" ht="16.5" thickBot="1">
      <c r="B29" s="69" t="s">
        <v>88</v>
      </c>
      <c r="C29" s="34" t="s">
        <v>109</v>
      </c>
      <c r="D29" s="35" t="s">
        <v>106</v>
      </c>
      <c r="E29" s="36">
        <v>0.7</v>
      </c>
      <c r="F29" s="36">
        <v>1.5</v>
      </c>
      <c r="G29" s="37">
        <f t="shared" si="0"/>
        <v>32961.836077872365</v>
      </c>
      <c r="H29" s="73">
        <f t="shared" ref="H29" si="4">($P$19/$P$20*E29)+($Q$19/$Q$20*F29)</f>
        <v>30800.75371560124</v>
      </c>
      <c r="I29" s="24">
        <f>G29-H29</f>
        <v>2161.082362271125</v>
      </c>
      <c r="J29" s="286"/>
    </row>
    <row r="30" spans="2:17" ht="16.5" thickBot="1">
      <c r="B30" s="39" t="s">
        <v>92</v>
      </c>
      <c r="C30" s="40"/>
      <c r="D30" s="40"/>
      <c r="E30" s="41">
        <f>SUM(E20:E29)</f>
        <v>16.779999999999998</v>
      </c>
      <c r="F30" s="42">
        <f>SUM(F20:F29)</f>
        <v>17.79</v>
      </c>
      <c r="G30" s="43">
        <f>SUM(G20:G29)</f>
        <v>522339.24000000005</v>
      </c>
      <c r="H30" s="44">
        <f>SUM(H20:H29)</f>
        <v>509552.32999999996</v>
      </c>
      <c r="I30" s="45">
        <f>SUM(I20:I29)</f>
        <v>8632.4700000000084</v>
      </c>
      <c r="J30" s="286"/>
    </row>
    <row r="31" spans="2:17">
      <c r="B31" s="5"/>
      <c r="C31" s="5"/>
      <c r="D31" s="5"/>
      <c r="E31" s="12"/>
      <c r="F31" s="12"/>
      <c r="G31" s="12"/>
      <c r="H31" s="12"/>
      <c r="I31" s="4"/>
    </row>
    <row r="32" spans="2:17" ht="16.5" customHeight="1" thickBot="1">
      <c r="B32" s="177" t="s">
        <v>143</v>
      </c>
      <c r="C32" s="177"/>
      <c r="D32" s="177"/>
      <c r="E32" s="177"/>
      <c r="F32" s="177"/>
      <c r="G32" s="177"/>
      <c r="H32" s="177"/>
      <c r="I32" s="177"/>
      <c r="J32" s="287"/>
      <c r="K32" s="287"/>
    </row>
    <row r="33" spans="2:17" ht="40.5" customHeight="1">
      <c r="B33" s="46"/>
      <c r="C33" s="47"/>
      <c r="D33" s="182" t="s">
        <v>110</v>
      </c>
      <c r="E33" s="183"/>
      <c r="F33" s="171" t="s">
        <v>9</v>
      </c>
      <c r="G33" s="172"/>
      <c r="H33" s="171" t="s">
        <v>10</v>
      </c>
      <c r="I33" s="223"/>
      <c r="J33" s="288"/>
      <c r="K33" s="289"/>
      <c r="L33" s="290"/>
      <c r="M33" s="291"/>
      <c r="N33" s="292"/>
      <c r="O33" s="292"/>
      <c r="P33" s="292"/>
      <c r="Q33" s="292"/>
    </row>
    <row r="34" spans="2:17">
      <c r="B34" s="48" t="s">
        <v>11</v>
      </c>
      <c r="C34" s="49"/>
      <c r="D34" s="169">
        <f>F34+H34</f>
        <v>522339.24</v>
      </c>
      <c r="E34" s="184"/>
      <c r="F34" s="169">
        <f>329672.51+61334.4</f>
        <v>391006.91000000003</v>
      </c>
      <c r="G34" s="184"/>
      <c r="H34" s="169">
        <f>G28</f>
        <v>131332.32999999999</v>
      </c>
      <c r="I34" s="180"/>
      <c r="J34" s="293"/>
      <c r="K34" s="298"/>
      <c r="L34" s="295">
        <v>53430.85</v>
      </c>
      <c r="M34" s="295">
        <v>575770.09</v>
      </c>
      <c r="N34" s="296">
        <f>M34-L34</f>
        <v>522339.24</v>
      </c>
      <c r="O34" s="297">
        <f>N34-D34</f>
        <v>0</v>
      </c>
    </row>
    <row r="35" spans="2:17">
      <c r="B35" s="48" t="s">
        <v>12</v>
      </c>
      <c r="C35" s="49"/>
      <c r="D35" s="169">
        <f>F35+H35</f>
        <v>507984.05</v>
      </c>
      <c r="E35" s="184"/>
      <c r="F35" s="169">
        <f>320990.85+59257.18</f>
        <v>380248.02999999997</v>
      </c>
      <c r="G35" s="184"/>
      <c r="H35" s="169">
        <v>127736.02</v>
      </c>
      <c r="I35" s="180"/>
      <c r="J35" s="293"/>
      <c r="K35" s="298"/>
      <c r="L35" s="299">
        <v>4138.8</v>
      </c>
      <c r="M35" s="295">
        <v>513870.51</v>
      </c>
      <c r="N35" s="296">
        <f>M35-L35</f>
        <v>509731.71</v>
      </c>
      <c r="O35" s="297">
        <f>N35-D35</f>
        <v>1747.6600000000326</v>
      </c>
      <c r="P35" s="296" t="s">
        <v>153</v>
      </c>
    </row>
    <row r="36" spans="2:17" ht="16.5" thickBot="1">
      <c r="B36" s="51" t="s">
        <v>91</v>
      </c>
      <c r="C36" s="52"/>
      <c r="D36" s="187">
        <f>F36+H36</f>
        <v>509552.32999999996</v>
      </c>
      <c r="E36" s="189"/>
      <c r="F36" s="187">
        <f>H20+H21+H22+H23+H24+H25+H26+H27+H29</f>
        <v>362531.32999999996</v>
      </c>
      <c r="G36" s="189"/>
      <c r="H36" s="187">
        <f>H28</f>
        <v>147021</v>
      </c>
      <c r="I36" s="220"/>
      <c r="J36" s="293"/>
      <c r="K36" s="298"/>
      <c r="L36" s="286"/>
      <c r="M36" s="286"/>
    </row>
    <row r="37" spans="2:17" ht="33" customHeight="1" thickBot="1">
      <c r="B37" s="53" t="s">
        <v>156</v>
      </c>
      <c r="C37" s="54"/>
      <c r="D37" s="198">
        <f>F37+H37</f>
        <v>-1568.2799999999843</v>
      </c>
      <c r="E37" s="199"/>
      <c r="F37" s="191">
        <f>F35-F36</f>
        <v>17716.700000000012</v>
      </c>
      <c r="G37" s="221"/>
      <c r="H37" s="191">
        <f>H35-H36</f>
        <v>-19284.979999999996</v>
      </c>
      <c r="I37" s="222"/>
      <c r="J37" s="293"/>
      <c r="K37" s="298"/>
      <c r="L37" s="286"/>
      <c r="M37" s="286"/>
    </row>
    <row r="38" spans="2:17" ht="28.5" customHeight="1">
      <c r="B38" s="70" t="s">
        <v>79</v>
      </c>
      <c r="C38" s="70"/>
      <c r="D38" s="70"/>
      <c r="E38" s="212" t="s">
        <v>80</v>
      </c>
      <c r="F38" s="212"/>
      <c r="G38" s="195" t="s">
        <v>13</v>
      </c>
      <c r="H38" s="195"/>
      <c r="I38" s="55"/>
      <c r="J38" s="300"/>
      <c r="K38" s="284"/>
      <c r="L38" s="284"/>
      <c r="M38" s="284"/>
      <c r="N38" s="284"/>
      <c r="O38" s="284"/>
      <c r="P38" s="284"/>
      <c r="Q38" s="284"/>
    </row>
    <row r="39" spans="2:17" ht="8.25" customHeight="1">
      <c r="B39" s="70"/>
      <c r="C39" s="70"/>
      <c r="D39" s="70"/>
      <c r="E39" s="185" t="s">
        <v>14</v>
      </c>
      <c r="F39" s="185"/>
      <c r="G39" s="196"/>
      <c r="H39" s="196"/>
      <c r="I39" s="55"/>
      <c r="J39" s="300"/>
      <c r="K39" s="284"/>
      <c r="L39" s="284"/>
      <c r="M39" s="284"/>
      <c r="N39" s="284"/>
      <c r="O39" s="284"/>
      <c r="P39" s="284"/>
      <c r="Q39" s="284"/>
    </row>
    <row r="40" spans="2:17" ht="18" customHeight="1">
      <c r="B40" s="70" t="s">
        <v>81</v>
      </c>
      <c r="C40" s="70"/>
      <c r="D40" s="70"/>
      <c r="E40" s="186" t="s">
        <v>80</v>
      </c>
      <c r="F40" s="186"/>
      <c r="G40" s="195" t="s">
        <v>96</v>
      </c>
      <c r="H40" s="195"/>
      <c r="I40" s="55"/>
      <c r="J40" s="300"/>
      <c r="K40" s="284"/>
      <c r="L40" s="284"/>
      <c r="M40" s="284"/>
      <c r="N40" s="284"/>
      <c r="O40" s="284"/>
      <c r="P40" s="284"/>
      <c r="Q40" s="284"/>
    </row>
    <row r="41" spans="2:17" ht="9.75" customHeight="1">
      <c r="B41" s="70"/>
      <c r="C41" s="70"/>
      <c r="D41" s="70"/>
      <c r="E41" s="185" t="s">
        <v>14</v>
      </c>
      <c r="F41" s="185"/>
      <c r="G41" s="195"/>
      <c r="H41" s="195"/>
      <c r="I41" s="55"/>
      <c r="J41" s="300"/>
    </row>
    <row r="42" spans="2:17" ht="16.5" customHeight="1">
      <c r="B42" s="70" t="s">
        <v>82</v>
      </c>
      <c r="C42" s="70"/>
      <c r="D42" s="70"/>
      <c r="E42" s="186" t="s">
        <v>80</v>
      </c>
      <c r="F42" s="186"/>
      <c r="G42" s="195" t="s">
        <v>98</v>
      </c>
      <c r="H42" s="195"/>
      <c r="I42" s="55"/>
      <c r="J42" s="300"/>
    </row>
    <row r="43" spans="2:17" ht="10.5" customHeight="1">
      <c r="B43" s="58"/>
      <c r="C43" s="58"/>
      <c r="D43" s="58"/>
      <c r="E43" s="185" t="s">
        <v>14</v>
      </c>
      <c r="F43" s="185"/>
      <c r="G43" s="59"/>
      <c r="H43" s="57"/>
      <c r="I43" s="60"/>
      <c r="J43" s="296"/>
    </row>
    <row r="44" spans="2:17" ht="16.5" customHeight="1">
      <c r="B44" s="70" t="s">
        <v>83</v>
      </c>
      <c r="C44" s="70"/>
      <c r="D44" s="70"/>
      <c r="E44" s="186" t="s">
        <v>80</v>
      </c>
      <c r="F44" s="186"/>
      <c r="G44" s="195" t="s">
        <v>142</v>
      </c>
      <c r="H44" s="195"/>
      <c r="I44" s="55"/>
      <c r="J44" s="300"/>
    </row>
    <row r="45" spans="2:17" ht="9.75" customHeight="1">
      <c r="B45" s="8"/>
      <c r="C45" s="8"/>
      <c r="D45" s="8"/>
      <c r="E45" s="185" t="s">
        <v>14</v>
      </c>
      <c r="F45" s="185"/>
      <c r="G45" s="185"/>
      <c r="H45" s="185"/>
      <c r="I45" s="4"/>
      <c r="J45" s="292"/>
    </row>
    <row r="46" spans="2:17">
      <c r="E46" s="61"/>
      <c r="F46" s="61"/>
    </row>
  </sheetData>
  <mergeCells count="46">
    <mergeCell ref="B4:I4"/>
    <mergeCell ref="B1:I1"/>
    <mergeCell ref="F34:G34"/>
    <mergeCell ref="H34:I34"/>
    <mergeCell ref="B6:I7"/>
    <mergeCell ref="D9:F9"/>
    <mergeCell ref="D16:E16"/>
    <mergeCell ref="B17:I17"/>
    <mergeCell ref="B18:B19"/>
    <mergeCell ref="C18:C19"/>
    <mergeCell ref="D18:D19"/>
    <mergeCell ref="E18:E19"/>
    <mergeCell ref="F18:F19"/>
    <mergeCell ref="G18:H18"/>
    <mergeCell ref="I18:I19"/>
    <mergeCell ref="B2:I2"/>
    <mergeCell ref="B3:I3"/>
    <mergeCell ref="E38:F38"/>
    <mergeCell ref="G38:H38"/>
    <mergeCell ref="D37:E37"/>
    <mergeCell ref="F37:G37"/>
    <mergeCell ref="B32:I32"/>
    <mergeCell ref="H36:I36"/>
    <mergeCell ref="H37:I37"/>
    <mergeCell ref="H33:I33"/>
    <mergeCell ref="D33:E33"/>
    <mergeCell ref="D34:E34"/>
    <mergeCell ref="D35:E35"/>
    <mergeCell ref="D36:E36"/>
    <mergeCell ref="F35:G35"/>
    <mergeCell ref="F36:G36"/>
    <mergeCell ref="F33:G33"/>
    <mergeCell ref="H35:I35"/>
    <mergeCell ref="E39:F39"/>
    <mergeCell ref="G39:H39"/>
    <mergeCell ref="E40:F40"/>
    <mergeCell ref="G40:H40"/>
    <mergeCell ref="E44:F44"/>
    <mergeCell ref="G44:H44"/>
    <mergeCell ref="E45:F45"/>
    <mergeCell ref="G45:H45"/>
    <mergeCell ref="E41:F41"/>
    <mergeCell ref="G41:H41"/>
    <mergeCell ref="E42:F42"/>
    <mergeCell ref="G42:H42"/>
    <mergeCell ref="E43:F43"/>
  </mergeCells>
  <printOptions horizontalCentered="1"/>
  <pageMargins left="0.19685039370078741" right="0.19685039370078741" top="0.15748031496062992" bottom="0.23622047244094491" header="0.31496062992125984" footer="0.31496062992125984"/>
  <pageSetup paperSize="9" scale="4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S49"/>
  <sheetViews>
    <sheetView zoomScale="110" zoomScaleNormal="110" workbookViewId="0">
      <selection activeCell="M22" sqref="M22"/>
    </sheetView>
  </sheetViews>
  <sheetFormatPr defaultColWidth="9.140625" defaultRowHeight="15.75" outlineLevelRow="1"/>
  <cols>
    <col min="1" max="1" width="2.85546875" style="2" customWidth="1"/>
    <col min="2" max="2" width="55.5703125" style="2" customWidth="1"/>
    <col min="3" max="3" width="12.7109375" style="145" customWidth="1"/>
    <col min="4" max="4" width="8.28515625" style="4" customWidth="1"/>
    <col min="5" max="5" width="9.42578125" style="4" customWidth="1"/>
    <col min="6" max="6" width="9.28515625" style="4" customWidth="1"/>
    <col min="7" max="7" width="11.7109375" style="2" customWidth="1"/>
    <col min="8" max="8" width="11" style="2" customWidth="1"/>
    <col min="9" max="9" width="9.85546875" style="2" customWidth="1"/>
    <col min="10" max="10" width="11.85546875" style="274" customWidth="1"/>
    <col min="11" max="13" width="9.140625" style="274"/>
    <col min="14" max="14" width="11.7109375" style="274" customWidth="1"/>
    <col min="15" max="15" width="13.140625" style="274" customWidth="1"/>
    <col min="16" max="16" width="11.42578125" style="274" customWidth="1"/>
    <col min="17" max="17" width="12.7109375" style="274" customWidth="1"/>
    <col min="18" max="18" width="9.140625" style="274"/>
    <col min="19" max="16384" width="9.140625" style="2"/>
  </cols>
  <sheetData>
    <row r="1" spans="1:10">
      <c r="B1" s="168" t="s">
        <v>138</v>
      </c>
      <c r="C1" s="168"/>
      <c r="D1" s="168"/>
      <c r="E1" s="168"/>
      <c r="F1" s="168"/>
      <c r="G1" s="168"/>
      <c r="H1" s="168"/>
      <c r="I1" s="168"/>
    </row>
    <row r="2" spans="1:10">
      <c r="B2" s="168" t="s">
        <v>139</v>
      </c>
      <c r="C2" s="168"/>
      <c r="D2" s="168"/>
      <c r="E2" s="168"/>
      <c r="F2" s="168"/>
      <c r="G2" s="168"/>
      <c r="H2" s="168"/>
      <c r="I2" s="168"/>
    </row>
    <row r="3" spans="1:10">
      <c r="B3" s="168" t="s">
        <v>140</v>
      </c>
      <c r="C3" s="168"/>
      <c r="D3" s="168"/>
      <c r="E3" s="168"/>
      <c r="F3" s="168"/>
      <c r="G3" s="168"/>
      <c r="H3" s="168"/>
      <c r="I3" s="168"/>
    </row>
    <row r="4" spans="1:10">
      <c r="B4" s="168" t="s">
        <v>148</v>
      </c>
      <c r="C4" s="168"/>
      <c r="D4" s="168"/>
      <c r="E4" s="168"/>
      <c r="F4" s="168"/>
      <c r="G4" s="168"/>
      <c r="H4" s="168"/>
      <c r="I4" s="168"/>
    </row>
    <row r="5" spans="1:10" ht="10.5" customHeight="1">
      <c r="B5" s="66"/>
      <c r="C5" s="66"/>
      <c r="D5" s="66"/>
      <c r="E5" s="66"/>
      <c r="F5" s="66"/>
      <c r="G5" s="66"/>
      <c r="H5" s="66"/>
      <c r="I5" s="66"/>
    </row>
    <row r="6" spans="1:10" ht="19.5" customHeight="1">
      <c r="A6" s="81"/>
      <c r="B6" s="200" t="s">
        <v>141</v>
      </c>
      <c r="C6" s="200"/>
      <c r="D6" s="200"/>
      <c r="E6" s="200"/>
      <c r="F6" s="200"/>
      <c r="G6" s="200"/>
      <c r="H6" s="200"/>
      <c r="I6" s="200"/>
    </row>
    <row r="7" spans="1:10" ht="20.25" customHeight="1">
      <c r="A7" s="81"/>
      <c r="B7" s="200"/>
      <c r="C7" s="200"/>
      <c r="D7" s="200"/>
      <c r="E7" s="200"/>
      <c r="F7" s="200"/>
      <c r="G7" s="200"/>
      <c r="H7" s="200"/>
      <c r="I7" s="200"/>
    </row>
    <row r="8" spans="1:10" ht="8.25" customHeight="1"/>
    <row r="9" spans="1:10">
      <c r="B9" s="6" t="s">
        <v>0</v>
      </c>
      <c r="C9" s="155"/>
      <c r="D9" s="207" t="s">
        <v>48</v>
      </c>
      <c r="E9" s="207"/>
      <c r="F9" s="207"/>
    </row>
    <row r="10" spans="1:10">
      <c r="B10" s="6" t="s">
        <v>1</v>
      </c>
      <c r="C10" s="155"/>
      <c r="D10" s="63">
        <v>2009</v>
      </c>
      <c r="E10" s="63"/>
      <c r="F10" s="63"/>
    </row>
    <row r="11" spans="1:10" hidden="1" outlineLevel="1">
      <c r="B11" s="6" t="s">
        <v>2</v>
      </c>
      <c r="C11" s="155"/>
      <c r="D11" s="63">
        <v>5</v>
      </c>
      <c r="E11" s="63"/>
      <c r="F11" s="63"/>
    </row>
    <row r="12" spans="1:10" hidden="1" outlineLevel="1">
      <c r="B12" s="6" t="s">
        <v>3</v>
      </c>
      <c r="C12" s="155"/>
      <c r="D12" s="63">
        <v>40</v>
      </c>
      <c r="E12" s="63"/>
      <c r="F12" s="63"/>
    </row>
    <row r="13" spans="1:10" ht="30.75" hidden="1" customHeight="1" outlineLevel="1">
      <c r="B13" s="64" t="s">
        <v>4</v>
      </c>
      <c r="C13" s="156"/>
      <c r="D13" s="63" t="s">
        <v>49</v>
      </c>
      <c r="E13" s="63"/>
      <c r="F13" s="63"/>
    </row>
    <row r="14" spans="1:10" collapsed="1">
      <c r="B14" s="6" t="s">
        <v>5</v>
      </c>
      <c r="C14" s="155"/>
      <c r="D14" s="63" t="s">
        <v>158</v>
      </c>
      <c r="E14" s="63"/>
      <c r="F14" s="63"/>
      <c r="J14" s="276"/>
    </row>
    <row r="15" spans="1:10" hidden="1" outlineLevel="1">
      <c r="B15" s="2" t="s">
        <v>6</v>
      </c>
      <c r="D15" s="13" t="s">
        <v>7</v>
      </c>
      <c r="E15" s="13"/>
      <c r="F15" s="13"/>
    </row>
    <row r="16" spans="1:10" ht="30.75" hidden="1" customHeight="1" outlineLevel="1">
      <c r="B16" s="14" t="s">
        <v>8</v>
      </c>
      <c r="C16" s="146"/>
      <c r="D16" s="208" t="s">
        <v>47</v>
      </c>
      <c r="E16" s="208"/>
      <c r="F16" s="13"/>
      <c r="J16" s="276"/>
    </row>
    <row r="17" spans="2:19" ht="17.25" customHeight="1" collapsed="1" thickBot="1">
      <c r="B17" s="215" t="s">
        <v>144</v>
      </c>
      <c r="C17" s="215"/>
      <c r="D17" s="215"/>
      <c r="E17" s="215"/>
      <c r="F17" s="215"/>
      <c r="G17" s="215"/>
      <c r="H17" s="215"/>
      <c r="I17" s="215"/>
      <c r="M17" s="276"/>
      <c r="N17" s="277" t="s">
        <v>99</v>
      </c>
      <c r="O17" s="277" t="s">
        <v>100</v>
      </c>
      <c r="P17" s="277" t="s">
        <v>101</v>
      </c>
      <c r="Q17" s="277" t="s">
        <v>102</v>
      </c>
    </row>
    <row r="18" spans="2:19" s="9" customFormat="1" ht="32.25" customHeight="1">
      <c r="B18" s="224" t="s">
        <v>97</v>
      </c>
      <c r="C18" s="218" t="s">
        <v>103</v>
      </c>
      <c r="D18" s="218" t="s">
        <v>121</v>
      </c>
      <c r="E18" s="175" t="s">
        <v>147</v>
      </c>
      <c r="F18" s="210" t="s">
        <v>146</v>
      </c>
      <c r="G18" s="213" t="s">
        <v>104</v>
      </c>
      <c r="H18" s="214"/>
      <c r="I18" s="201" t="s">
        <v>151</v>
      </c>
      <c r="J18" s="274"/>
      <c r="K18" s="274"/>
      <c r="L18" s="274"/>
      <c r="M18" s="276"/>
      <c r="N18" s="277"/>
      <c r="O18" s="277"/>
      <c r="P18" s="277"/>
      <c r="Q18" s="277"/>
      <c r="R18" s="274"/>
      <c r="S18" s="2"/>
    </row>
    <row r="19" spans="2:19" s="3" customFormat="1" ht="53.25" customHeight="1" thickBot="1">
      <c r="B19" s="225"/>
      <c r="C19" s="219"/>
      <c r="D19" s="219"/>
      <c r="E19" s="176"/>
      <c r="F19" s="211"/>
      <c r="G19" s="16" t="s">
        <v>84</v>
      </c>
      <c r="H19" s="17" t="s">
        <v>85</v>
      </c>
      <c r="I19" s="202"/>
      <c r="J19" s="274"/>
      <c r="K19" s="274"/>
      <c r="L19" s="274"/>
      <c r="M19" s="274"/>
      <c r="N19" s="278">
        <v>104133.91</v>
      </c>
      <c r="O19" s="278">
        <f>209080.53-N19</f>
        <v>104946.62</v>
      </c>
      <c r="P19" s="278">
        <v>99717.77</v>
      </c>
      <c r="Q19" s="278">
        <f>113652.74</f>
        <v>113652.74</v>
      </c>
      <c r="R19" s="274"/>
      <c r="S19" s="2"/>
    </row>
    <row r="20" spans="2:19" ht="51.75" customHeight="1">
      <c r="B20" s="18" t="s">
        <v>89</v>
      </c>
      <c r="C20" s="19" t="s">
        <v>105</v>
      </c>
      <c r="D20" s="20" t="s">
        <v>106</v>
      </c>
      <c r="E20" s="21">
        <v>1.05</v>
      </c>
      <c r="F20" s="21">
        <v>1.06</v>
      </c>
      <c r="G20" s="22">
        <f>($N$19/$N$20*E20)+($O$19/$O$20*F20)</f>
        <v>22775.685643498062</v>
      </c>
      <c r="H20" s="23">
        <f>($P$19/$P$20*E20)+($Q$19/$Q$20*F20)</f>
        <v>25030.638666570772</v>
      </c>
      <c r="I20" s="24">
        <f>G20-H20</f>
        <v>-2254.9530230727105</v>
      </c>
      <c r="J20" s="279"/>
      <c r="K20" s="280"/>
      <c r="L20" s="280"/>
      <c r="M20" s="281"/>
      <c r="N20" s="282">
        <f>E31-E28-E26</f>
        <v>9.61</v>
      </c>
      <c r="O20" s="282">
        <f>F31-F28-F26</f>
        <v>9.7600000000000016</v>
      </c>
      <c r="P20" s="282">
        <f>E31-E29-E28-E26</f>
        <v>8.69</v>
      </c>
      <c r="Q20" s="282">
        <f>F31-F29-F28-F26</f>
        <v>9.2800000000000011</v>
      </c>
    </row>
    <row r="21" spans="2:19" ht="51">
      <c r="B21" s="26" t="s">
        <v>93</v>
      </c>
      <c r="C21" s="19" t="s">
        <v>105</v>
      </c>
      <c r="D21" s="20" t="s">
        <v>106</v>
      </c>
      <c r="E21" s="27">
        <v>1.17</v>
      </c>
      <c r="F21" s="27">
        <v>1.19</v>
      </c>
      <c r="G21" s="22">
        <f t="shared" ref="G21:G30" si="0">($N$19/$N$20*E21)+($O$19/$O$20*F21)</f>
        <v>25473.859588820553</v>
      </c>
      <c r="H21" s="23">
        <f t="shared" ref="H21:H25" si="1">($P$19/$P$20*E21)+($Q$19/$Q$20*F21)</f>
        <v>27999.757067750284</v>
      </c>
      <c r="I21" s="24">
        <f t="shared" ref="I21:I27" si="2">G21-H21</f>
        <v>-2525.8974789297317</v>
      </c>
      <c r="J21" s="283"/>
      <c r="K21" s="284"/>
      <c r="L21" s="284"/>
      <c r="M21" s="284"/>
      <c r="N21" s="285"/>
      <c r="O21" s="284"/>
      <c r="P21" s="284"/>
      <c r="Q21" s="284"/>
    </row>
    <row r="22" spans="2:19" ht="49.5" customHeight="1">
      <c r="B22" s="30" t="s">
        <v>86</v>
      </c>
      <c r="C22" s="19" t="s">
        <v>105</v>
      </c>
      <c r="D22" s="20" t="s">
        <v>106</v>
      </c>
      <c r="E22" s="27">
        <v>0.27</v>
      </c>
      <c r="F22" s="27">
        <v>0.32</v>
      </c>
      <c r="G22" s="22">
        <f t="shared" si="0"/>
        <v>6366.5913820985643</v>
      </c>
      <c r="H22" s="23">
        <f t="shared" si="1"/>
        <v>7017.3106214039126</v>
      </c>
      <c r="I22" s="24">
        <f t="shared" si="2"/>
        <v>-650.71923930534831</v>
      </c>
      <c r="J22" s="286"/>
      <c r="M22" s="276"/>
    </row>
    <row r="23" spans="2:19" ht="25.5">
      <c r="B23" s="30" t="s">
        <v>87</v>
      </c>
      <c r="C23" s="32" t="s">
        <v>107</v>
      </c>
      <c r="D23" s="20" t="s">
        <v>106</v>
      </c>
      <c r="E23" s="27">
        <v>0.15</v>
      </c>
      <c r="F23" s="27">
        <v>0.13</v>
      </c>
      <c r="G23" s="22">
        <f t="shared" si="0"/>
        <v>3023.2537892350861</v>
      </c>
      <c r="H23" s="23">
        <f t="shared" si="1"/>
        <v>3313.3684702243954</v>
      </c>
      <c r="I23" s="24">
        <f t="shared" si="2"/>
        <v>-290.11468098930936</v>
      </c>
      <c r="J23" s="286"/>
      <c r="M23" s="276"/>
    </row>
    <row r="24" spans="2:19" s="3" customFormat="1" ht="51">
      <c r="B24" s="26" t="s">
        <v>90</v>
      </c>
      <c r="C24" s="19" t="s">
        <v>170</v>
      </c>
      <c r="D24" s="20" t="s">
        <v>106</v>
      </c>
      <c r="E24" s="27">
        <v>1.33</v>
      </c>
      <c r="F24" s="27">
        <v>1.18</v>
      </c>
      <c r="G24" s="22">
        <f t="shared" si="0"/>
        <v>27100.091481764211</v>
      </c>
      <c r="H24" s="23">
        <f t="shared" si="1"/>
        <v>29713.286810989644</v>
      </c>
      <c r="I24" s="24">
        <f t="shared" si="2"/>
        <v>-2613.1953292254329</v>
      </c>
      <c r="J24" s="286"/>
      <c r="K24" s="274"/>
      <c r="L24" s="274"/>
      <c r="M24" s="274"/>
      <c r="N24" s="274"/>
      <c r="O24" s="274"/>
      <c r="P24" s="274"/>
      <c r="Q24" s="274"/>
      <c r="R24" s="274"/>
      <c r="S24" s="2"/>
    </row>
    <row r="25" spans="2:19" ht="225" customHeight="1">
      <c r="B25" s="26" t="s">
        <v>145</v>
      </c>
      <c r="C25" s="19" t="s">
        <v>109</v>
      </c>
      <c r="D25" s="20" t="s">
        <v>106</v>
      </c>
      <c r="E25" s="27">
        <v>4.43</v>
      </c>
      <c r="F25" s="27">
        <v>4.6100000000000003</v>
      </c>
      <c r="G25" s="22">
        <f t="shared" si="0"/>
        <v>97573.530537158163</v>
      </c>
      <c r="H25" s="23">
        <f t="shared" si="1"/>
        <v>107293.21832062716</v>
      </c>
      <c r="I25" s="24">
        <f t="shared" si="2"/>
        <v>-9719.6877834689949</v>
      </c>
      <c r="J25" s="283"/>
      <c r="K25" s="284"/>
      <c r="L25" s="284"/>
      <c r="M25" s="285"/>
      <c r="N25" s="284"/>
      <c r="O25" s="284"/>
      <c r="P25" s="284"/>
      <c r="Q25" s="284"/>
    </row>
    <row r="26" spans="2:19" ht="24">
      <c r="B26" s="30" t="s">
        <v>108</v>
      </c>
      <c r="C26" s="19" t="s">
        <v>107</v>
      </c>
      <c r="D26" s="20" t="s">
        <v>106</v>
      </c>
      <c r="E26" s="27">
        <v>2</v>
      </c>
      <c r="F26" s="27">
        <v>2</v>
      </c>
      <c r="G26" s="22">
        <v>43344</v>
      </c>
      <c r="H26" s="28">
        <v>37911.300000000003</v>
      </c>
      <c r="I26" s="24">
        <f>H26-G26</f>
        <v>-5432.6999999999971</v>
      </c>
      <c r="J26" s="286"/>
    </row>
    <row r="27" spans="2:19" ht="114" customHeight="1">
      <c r="B27" s="26" t="s">
        <v>111</v>
      </c>
      <c r="C27" s="19" t="s">
        <v>105</v>
      </c>
      <c r="D27" s="20" t="s">
        <v>106</v>
      </c>
      <c r="E27" s="27">
        <v>0.21</v>
      </c>
      <c r="F27" s="27">
        <v>0.24</v>
      </c>
      <c r="G27" s="22">
        <f t="shared" si="0"/>
        <v>4856.2134975520712</v>
      </c>
      <c r="H27" s="23">
        <f t="shared" ref="H27" si="3">($P$19/$P$20*E27)+($Q$19/$Q$20*F27)</f>
        <v>5349.0454833141539</v>
      </c>
      <c r="I27" s="24">
        <f t="shared" si="2"/>
        <v>-492.8319857620827</v>
      </c>
      <c r="J27" s="286"/>
    </row>
    <row r="28" spans="2:19" ht="48" customHeight="1">
      <c r="B28" s="30" t="s">
        <v>94</v>
      </c>
      <c r="C28" s="19" t="s">
        <v>105</v>
      </c>
      <c r="D28" s="20" t="s">
        <v>106</v>
      </c>
      <c r="E28" s="27">
        <v>2.5</v>
      </c>
      <c r="F28" s="27">
        <v>3.2</v>
      </c>
      <c r="G28" s="22">
        <v>57972.57</v>
      </c>
      <c r="H28" s="28">
        <v>99753</v>
      </c>
      <c r="I28" s="24">
        <f>G28-H28</f>
        <v>-41780.43</v>
      </c>
      <c r="J28" s="286"/>
      <c r="M28" s="276"/>
    </row>
    <row r="29" spans="2:19" ht="24.75">
      <c r="B29" s="30" t="s">
        <v>95</v>
      </c>
      <c r="C29" s="32" t="s">
        <v>107</v>
      </c>
      <c r="D29" s="20" t="s">
        <v>106</v>
      </c>
      <c r="E29" s="27">
        <v>0.92</v>
      </c>
      <c r="F29" s="27">
        <v>0.48</v>
      </c>
      <c r="G29" s="22">
        <f>($N$19/$N$20*E29)+($O$19/$O$20*F29)</f>
        <v>15130.424393647327</v>
      </c>
      <c r="H29" s="23">
        <v>14164.3</v>
      </c>
      <c r="I29" s="24">
        <f t="shared" ref="I29:I30" si="4">G29-H29</f>
        <v>966.12439364732745</v>
      </c>
      <c r="J29" s="286"/>
      <c r="K29" s="302"/>
      <c r="L29" s="302"/>
      <c r="M29" s="276"/>
      <c r="N29" s="292"/>
      <c r="O29" s="292"/>
    </row>
    <row r="30" spans="2:19">
      <c r="B30" s="30" t="s">
        <v>88</v>
      </c>
      <c r="C30" s="147" t="s">
        <v>109</v>
      </c>
      <c r="D30" s="20" t="s">
        <v>106</v>
      </c>
      <c r="E30" s="27">
        <v>0.08</v>
      </c>
      <c r="F30" s="27">
        <v>0.55000000000000004</v>
      </c>
      <c r="G30" s="22">
        <f t="shared" si="0"/>
        <v>6780.8796862259251</v>
      </c>
      <c r="H30" s="23">
        <f t="shared" ref="H30" si="5">($P$19/$P$20*E30)+($Q$19/$Q$20*F30)</f>
        <v>7653.8845591196778</v>
      </c>
      <c r="I30" s="24">
        <f t="shared" si="4"/>
        <v>-873.00487289375269</v>
      </c>
      <c r="J30" s="286"/>
    </row>
    <row r="31" spans="2:19" s="74" customFormat="1" ht="16.5" thickBot="1">
      <c r="B31" s="148" t="s">
        <v>92</v>
      </c>
      <c r="C31" s="149"/>
      <c r="D31" s="149"/>
      <c r="E31" s="150">
        <f>SUM(E20:E30)</f>
        <v>14.11</v>
      </c>
      <c r="F31" s="151">
        <f>SUM(F20:F30)</f>
        <v>14.96</v>
      </c>
      <c r="G31" s="152">
        <f>SUM(G20:G30)</f>
        <v>310397.09999999998</v>
      </c>
      <c r="H31" s="153">
        <f>SUM(H20:H30)</f>
        <v>365199.11</v>
      </c>
      <c r="I31" s="154">
        <f>SUM(I20:I30)</f>
        <v>-65667.410000000018</v>
      </c>
      <c r="J31" s="286"/>
      <c r="K31" s="274"/>
      <c r="L31" s="274"/>
      <c r="M31" s="274"/>
      <c r="N31" s="274"/>
      <c r="O31" s="274"/>
      <c r="P31" s="274"/>
      <c r="Q31" s="274"/>
      <c r="R31" s="274"/>
      <c r="S31" s="2"/>
    </row>
    <row r="32" spans="2:19" s="4" customFormat="1">
      <c r="B32" s="5"/>
      <c r="C32" s="5"/>
      <c r="D32" s="5"/>
      <c r="E32" s="12"/>
      <c r="F32" s="12"/>
      <c r="G32" s="12"/>
      <c r="H32" s="12"/>
      <c r="J32" s="274"/>
      <c r="K32" s="274"/>
      <c r="L32" s="274"/>
      <c r="M32" s="274"/>
      <c r="N32" s="274"/>
      <c r="O32" s="274"/>
      <c r="P32" s="274"/>
      <c r="Q32" s="274"/>
      <c r="R32" s="274"/>
      <c r="S32" s="2"/>
    </row>
    <row r="33" spans="2:19" ht="16.5" customHeight="1" thickBot="1">
      <c r="B33" s="177" t="s">
        <v>143</v>
      </c>
      <c r="C33" s="177"/>
      <c r="D33" s="177"/>
      <c r="E33" s="177"/>
      <c r="F33" s="177"/>
      <c r="G33" s="177"/>
      <c r="H33" s="177"/>
      <c r="I33" s="177"/>
      <c r="J33" s="287"/>
      <c r="K33" s="287"/>
    </row>
    <row r="34" spans="2:19" ht="45.75" customHeight="1">
      <c r="B34" s="46"/>
      <c r="C34" s="47"/>
      <c r="D34" s="182" t="s">
        <v>110</v>
      </c>
      <c r="E34" s="183"/>
      <c r="F34" s="171" t="s">
        <v>9</v>
      </c>
      <c r="G34" s="172"/>
      <c r="H34" s="171" t="s">
        <v>10</v>
      </c>
      <c r="I34" s="223"/>
      <c r="J34" s="288"/>
      <c r="K34" s="289"/>
      <c r="L34" s="290"/>
      <c r="M34" s="291"/>
      <c r="N34" s="292"/>
      <c r="O34" s="292"/>
      <c r="P34" s="292"/>
      <c r="Q34" s="292"/>
    </row>
    <row r="35" spans="2:19">
      <c r="B35" s="48" t="s">
        <v>11</v>
      </c>
      <c r="C35" s="49"/>
      <c r="D35" s="169">
        <f>F35+H35</f>
        <v>310397.09999999998</v>
      </c>
      <c r="E35" s="184"/>
      <c r="F35" s="169">
        <f>209080.53+43344</f>
        <v>252424.53</v>
      </c>
      <c r="G35" s="184"/>
      <c r="H35" s="169">
        <f>G28</f>
        <v>57972.57</v>
      </c>
      <c r="I35" s="180"/>
      <c r="J35" s="293"/>
      <c r="K35" s="298"/>
      <c r="L35" s="295">
        <v>47260.27</v>
      </c>
      <c r="M35" s="295">
        <v>357657.37</v>
      </c>
      <c r="N35" s="296">
        <f>M35-L35</f>
        <v>310397.09999999998</v>
      </c>
      <c r="O35" s="297">
        <f>N35-D35</f>
        <v>0</v>
      </c>
    </row>
    <row r="36" spans="2:19">
      <c r="B36" s="48" t="s">
        <v>12</v>
      </c>
      <c r="C36" s="49"/>
      <c r="D36" s="169">
        <f>F36+H36</f>
        <v>281415.56999999995</v>
      </c>
      <c r="E36" s="184"/>
      <c r="F36" s="169">
        <f>189571.74+37911.3</f>
        <v>227483.03999999998</v>
      </c>
      <c r="G36" s="184"/>
      <c r="H36" s="169">
        <v>53932.53</v>
      </c>
      <c r="I36" s="180"/>
      <c r="J36" s="293"/>
      <c r="K36" s="298"/>
      <c r="L36" s="299">
        <v>1842.59</v>
      </c>
      <c r="M36" s="295">
        <v>283258.15999999997</v>
      </c>
      <c r="N36" s="296">
        <f>M36-L36</f>
        <v>281415.56999999995</v>
      </c>
      <c r="O36" s="297">
        <f>N36-D36</f>
        <v>0</v>
      </c>
    </row>
    <row r="37" spans="2:19" s="3" customFormat="1" ht="16.5" thickBot="1">
      <c r="B37" s="51" t="s">
        <v>91</v>
      </c>
      <c r="C37" s="52"/>
      <c r="D37" s="187">
        <f>F37+H37</f>
        <v>351034.80999999994</v>
      </c>
      <c r="E37" s="189"/>
      <c r="F37" s="187">
        <f>H20+H21+H22+H23+H24+H25+H26+H27+H30</f>
        <v>251281.80999999997</v>
      </c>
      <c r="G37" s="189"/>
      <c r="H37" s="187">
        <f>H28</f>
        <v>99753</v>
      </c>
      <c r="I37" s="220"/>
      <c r="J37" s="293"/>
      <c r="K37" s="298"/>
      <c r="L37" s="286"/>
      <c r="M37" s="286"/>
      <c r="N37" s="274"/>
      <c r="O37" s="274"/>
      <c r="P37" s="274"/>
      <c r="Q37" s="274"/>
      <c r="R37" s="274"/>
      <c r="S37" s="2"/>
    </row>
    <row r="38" spans="2:19" s="3" customFormat="1" ht="28.5" customHeight="1" thickBot="1">
      <c r="B38" s="53" t="s">
        <v>156</v>
      </c>
      <c r="C38" s="54"/>
      <c r="D38" s="198">
        <f>F38+H38</f>
        <v>-69619.239999999991</v>
      </c>
      <c r="E38" s="199"/>
      <c r="F38" s="191">
        <f>F36-F37</f>
        <v>-23798.76999999999</v>
      </c>
      <c r="G38" s="221"/>
      <c r="H38" s="191">
        <f>H36-H37</f>
        <v>-45820.47</v>
      </c>
      <c r="I38" s="222"/>
      <c r="J38" s="293"/>
      <c r="K38" s="298"/>
      <c r="L38" s="286"/>
      <c r="M38" s="286"/>
      <c r="N38" s="274"/>
      <c r="O38" s="274"/>
      <c r="P38" s="274"/>
      <c r="Q38" s="274"/>
      <c r="R38" s="274"/>
      <c r="S38" s="2"/>
    </row>
    <row r="39" spans="2:19" s="3" customFormat="1" ht="24.75" customHeight="1">
      <c r="B39" s="70" t="s">
        <v>79</v>
      </c>
      <c r="C39" s="70"/>
      <c r="D39" s="70"/>
      <c r="E39" s="212" t="s">
        <v>80</v>
      </c>
      <c r="F39" s="212"/>
      <c r="G39" s="195" t="s">
        <v>13</v>
      </c>
      <c r="H39" s="195"/>
      <c r="I39" s="55"/>
      <c r="J39" s="300"/>
      <c r="K39" s="284"/>
      <c r="L39" s="284"/>
      <c r="M39" s="284"/>
      <c r="N39" s="284"/>
      <c r="O39" s="284"/>
      <c r="P39" s="284"/>
      <c r="Q39" s="284"/>
      <c r="R39" s="274"/>
      <c r="S39" s="2"/>
    </row>
    <row r="40" spans="2:19" ht="9.75" customHeight="1">
      <c r="B40" s="70"/>
      <c r="C40" s="70"/>
      <c r="D40" s="70"/>
      <c r="E40" s="185" t="s">
        <v>14</v>
      </c>
      <c r="F40" s="185"/>
      <c r="G40" s="196"/>
      <c r="H40" s="196"/>
      <c r="I40" s="55"/>
      <c r="J40" s="300"/>
      <c r="K40" s="284"/>
      <c r="L40" s="284"/>
      <c r="M40" s="284"/>
      <c r="N40" s="284"/>
      <c r="O40" s="284"/>
      <c r="P40" s="284"/>
      <c r="Q40" s="284"/>
    </row>
    <row r="41" spans="2:19" ht="17.25" customHeight="1">
      <c r="B41" s="70" t="s">
        <v>81</v>
      </c>
      <c r="C41" s="70"/>
      <c r="D41" s="70"/>
      <c r="E41" s="186" t="s">
        <v>80</v>
      </c>
      <c r="F41" s="186"/>
      <c r="G41" s="195" t="s">
        <v>96</v>
      </c>
      <c r="H41" s="195"/>
      <c r="I41" s="55"/>
      <c r="J41" s="300"/>
      <c r="K41" s="284"/>
      <c r="L41" s="284"/>
      <c r="M41" s="284"/>
      <c r="N41" s="284"/>
      <c r="O41" s="284"/>
      <c r="P41" s="284"/>
      <c r="Q41" s="284"/>
    </row>
    <row r="42" spans="2:19" ht="10.5" customHeight="1">
      <c r="B42" s="70"/>
      <c r="C42" s="70"/>
      <c r="D42" s="70"/>
      <c r="E42" s="185" t="s">
        <v>14</v>
      </c>
      <c r="F42" s="185"/>
      <c r="G42" s="195"/>
      <c r="H42" s="195"/>
      <c r="I42" s="55"/>
      <c r="J42" s="300"/>
    </row>
    <row r="43" spans="2:19" ht="18.75" customHeight="1">
      <c r="B43" s="70" t="s">
        <v>82</v>
      </c>
      <c r="C43" s="70"/>
      <c r="D43" s="70"/>
      <c r="E43" s="186" t="s">
        <v>80</v>
      </c>
      <c r="F43" s="186"/>
      <c r="G43" s="195" t="s">
        <v>98</v>
      </c>
      <c r="H43" s="195"/>
      <c r="I43" s="55"/>
      <c r="J43" s="300"/>
    </row>
    <row r="44" spans="2:19" ht="12" customHeight="1">
      <c r="B44" s="58"/>
      <c r="C44" s="58"/>
      <c r="D44" s="58"/>
      <c r="E44" s="185" t="s">
        <v>14</v>
      </c>
      <c r="F44" s="185"/>
      <c r="G44" s="59"/>
      <c r="H44" s="57"/>
      <c r="I44" s="60"/>
      <c r="J44" s="296"/>
    </row>
    <row r="45" spans="2:19">
      <c r="B45" s="70" t="s">
        <v>83</v>
      </c>
      <c r="C45" s="70"/>
      <c r="D45" s="70"/>
      <c r="E45" s="186" t="s">
        <v>80</v>
      </c>
      <c r="F45" s="186"/>
      <c r="G45" s="195" t="s">
        <v>142</v>
      </c>
      <c r="H45" s="195"/>
      <c r="I45" s="55"/>
      <c r="J45" s="300"/>
    </row>
    <row r="46" spans="2:19" ht="10.5" customHeight="1">
      <c r="B46" s="8"/>
      <c r="C46" s="8"/>
      <c r="D46" s="8"/>
      <c r="E46" s="185" t="s">
        <v>14</v>
      </c>
      <c r="F46" s="185"/>
      <c r="G46" s="185"/>
      <c r="H46" s="185"/>
      <c r="I46" s="4"/>
      <c r="J46" s="292"/>
    </row>
    <row r="47" spans="2:19">
      <c r="B47" s="8"/>
      <c r="C47" s="77"/>
      <c r="D47" s="78"/>
      <c r="E47" s="78"/>
      <c r="F47" s="78"/>
      <c r="G47" s="8"/>
      <c r="H47" s="8"/>
    </row>
    <row r="48" spans="2:19">
      <c r="C48" s="2"/>
      <c r="D48" s="2"/>
      <c r="E48" s="2"/>
      <c r="F48" s="2"/>
    </row>
    <row r="49" spans="5:5">
      <c r="E49" s="61"/>
    </row>
  </sheetData>
  <mergeCells count="46">
    <mergeCell ref="D34:E34"/>
    <mergeCell ref="F34:G34"/>
    <mergeCell ref="H34:I34"/>
    <mergeCell ref="B1:I1"/>
    <mergeCell ref="D9:F9"/>
    <mergeCell ref="D16:E16"/>
    <mergeCell ref="B6:I7"/>
    <mergeCell ref="B33:I33"/>
    <mergeCell ref="B17:I17"/>
    <mergeCell ref="B18:B19"/>
    <mergeCell ref="C18:C19"/>
    <mergeCell ref="D18:D19"/>
    <mergeCell ref="E18:E19"/>
    <mergeCell ref="F18:F19"/>
    <mergeCell ref="G18:H18"/>
    <mergeCell ref="I18:I19"/>
    <mergeCell ref="D36:E36"/>
    <mergeCell ref="F36:G36"/>
    <mergeCell ref="H36:I36"/>
    <mergeCell ref="D35:E35"/>
    <mergeCell ref="F35:G35"/>
    <mergeCell ref="H35:I35"/>
    <mergeCell ref="E40:F40"/>
    <mergeCell ref="G40:H40"/>
    <mergeCell ref="D37:E37"/>
    <mergeCell ref="H37:I37"/>
    <mergeCell ref="D38:E38"/>
    <mergeCell ref="H38:I38"/>
    <mergeCell ref="F38:G38"/>
    <mergeCell ref="F37:G37"/>
    <mergeCell ref="B2:I2"/>
    <mergeCell ref="B3:I3"/>
    <mergeCell ref="B4:I4"/>
    <mergeCell ref="E46:F46"/>
    <mergeCell ref="G46:H46"/>
    <mergeCell ref="E43:F43"/>
    <mergeCell ref="G43:H43"/>
    <mergeCell ref="E44:F44"/>
    <mergeCell ref="E45:F45"/>
    <mergeCell ref="G45:H45"/>
    <mergeCell ref="E41:F41"/>
    <mergeCell ref="G41:H41"/>
    <mergeCell ref="E42:F42"/>
    <mergeCell ref="G42:H42"/>
    <mergeCell ref="E39:F39"/>
    <mergeCell ref="G39:H39"/>
  </mergeCells>
  <printOptions horizontalCentered="1"/>
  <pageMargins left="0.19685039370078741" right="0.19685039370078741" top="0.15748031496062992" bottom="0.23622047244094491" header="0.15" footer="0.31496062992125984"/>
  <pageSetup paperSize="9" scale="4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B1:Q46"/>
  <sheetViews>
    <sheetView zoomScale="110" zoomScaleNormal="110" workbookViewId="0">
      <selection activeCell="I22" sqref="I22"/>
    </sheetView>
  </sheetViews>
  <sheetFormatPr defaultColWidth="9.140625" defaultRowHeight="15.75" outlineLevelRow="1"/>
  <cols>
    <col min="1" max="1" width="2.85546875" style="2" customWidth="1"/>
    <col min="2" max="2" width="55.7109375" style="2" customWidth="1"/>
    <col min="3" max="3" width="12.7109375" style="145" customWidth="1"/>
    <col min="4" max="4" width="8.85546875" style="4" customWidth="1"/>
    <col min="5" max="5" width="9.42578125" style="4" customWidth="1"/>
    <col min="6" max="6" width="10.140625" style="4" customWidth="1"/>
    <col min="7" max="7" width="10.140625" style="2" customWidth="1"/>
    <col min="8" max="8" width="10.28515625" style="2" customWidth="1"/>
    <col min="9" max="9" width="10" style="2" customWidth="1"/>
    <col min="10" max="10" width="11.85546875" style="274" customWidth="1"/>
    <col min="11" max="13" width="9.140625" style="274"/>
    <col min="14" max="14" width="11.42578125" style="274" customWidth="1"/>
    <col min="15" max="15" width="11.5703125" style="274" customWidth="1"/>
    <col min="16" max="16" width="12.7109375" style="274" customWidth="1"/>
    <col min="17" max="17" width="11.7109375" style="274" customWidth="1"/>
    <col min="18" max="16384" width="9.140625" style="2"/>
  </cols>
  <sheetData>
    <row r="1" spans="2:10">
      <c r="B1" s="168" t="s">
        <v>138</v>
      </c>
      <c r="C1" s="168"/>
      <c r="D1" s="168"/>
      <c r="E1" s="168"/>
      <c r="F1" s="168"/>
      <c r="G1" s="168"/>
      <c r="H1" s="168"/>
      <c r="I1" s="168"/>
    </row>
    <row r="2" spans="2:10">
      <c r="B2" s="168" t="s">
        <v>139</v>
      </c>
      <c r="C2" s="168"/>
      <c r="D2" s="168"/>
      <c r="E2" s="168"/>
      <c r="F2" s="168"/>
      <c r="G2" s="168"/>
      <c r="H2" s="168"/>
      <c r="I2" s="168"/>
    </row>
    <row r="3" spans="2:10">
      <c r="B3" s="168" t="s">
        <v>140</v>
      </c>
      <c r="C3" s="168"/>
      <c r="D3" s="168"/>
      <c r="E3" s="168"/>
      <c r="F3" s="168"/>
      <c r="G3" s="168"/>
      <c r="H3" s="168"/>
      <c r="I3" s="168"/>
    </row>
    <row r="4" spans="2:10">
      <c r="B4" s="168" t="s">
        <v>148</v>
      </c>
      <c r="C4" s="168"/>
      <c r="D4" s="168"/>
      <c r="E4" s="168"/>
      <c r="F4" s="168"/>
      <c r="G4" s="168"/>
      <c r="H4" s="168"/>
      <c r="I4" s="168"/>
    </row>
    <row r="5" spans="2:10" ht="5.25" customHeight="1">
      <c r="B5" s="66"/>
      <c r="C5" s="66"/>
      <c r="D5" s="66"/>
      <c r="E5" s="66"/>
      <c r="F5" s="66"/>
      <c r="G5" s="66"/>
      <c r="H5" s="66"/>
      <c r="I5" s="66"/>
    </row>
    <row r="6" spans="2:10" ht="23.25" customHeight="1">
      <c r="B6" s="200" t="s">
        <v>141</v>
      </c>
      <c r="C6" s="200"/>
      <c r="D6" s="200"/>
      <c r="E6" s="200"/>
      <c r="F6" s="200"/>
      <c r="G6" s="200"/>
      <c r="H6" s="200"/>
      <c r="I6" s="200"/>
    </row>
    <row r="7" spans="2:10" ht="20.25" customHeight="1">
      <c r="B7" s="200"/>
      <c r="C7" s="200"/>
      <c r="D7" s="200"/>
      <c r="E7" s="200"/>
      <c r="F7" s="200"/>
      <c r="G7" s="200"/>
      <c r="H7" s="200"/>
      <c r="I7" s="200"/>
    </row>
    <row r="8" spans="2:10" ht="8.25" customHeight="1"/>
    <row r="9" spans="2:10">
      <c r="B9" s="6" t="s">
        <v>0</v>
      </c>
      <c r="C9" s="155"/>
      <c r="D9" s="207" t="s">
        <v>50</v>
      </c>
      <c r="E9" s="207"/>
      <c r="F9" s="207"/>
    </row>
    <row r="10" spans="2:10">
      <c r="B10" s="6" t="s">
        <v>1</v>
      </c>
      <c r="C10" s="155"/>
      <c r="D10" s="63">
        <v>1970</v>
      </c>
      <c r="E10" s="63"/>
      <c r="F10" s="63"/>
    </row>
    <row r="11" spans="2:10" hidden="1" outlineLevel="1">
      <c r="B11" s="6" t="s">
        <v>2</v>
      </c>
      <c r="C11" s="155"/>
      <c r="D11" s="63">
        <v>4</v>
      </c>
      <c r="E11" s="63"/>
      <c r="F11" s="63"/>
    </row>
    <row r="12" spans="2:10" hidden="1" outlineLevel="1">
      <c r="B12" s="6" t="s">
        <v>3</v>
      </c>
      <c r="C12" s="155"/>
      <c r="D12" s="63">
        <v>48</v>
      </c>
      <c r="E12" s="63"/>
      <c r="F12" s="63"/>
    </row>
    <row r="13" spans="2:10" ht="30.75" hidden="1" customHeight="1" outlineLevel="1">
      <c r="B13" s="64" t="s">
        <v>4</v>
      </c>
      <c r="C13" s="156"/>
      <c r="D13" s="63" t="s">
        <v>51</v>
      </c>
      <c r="E13" s="63"/>
      <c r="F13" s="63"/>
    </row>
    <row r="14" spans="2:10" collapsed="1">
      <c r="B14" s="6" t="s">
        <v>5</v>
      </c>
      <c r="C14" s="155"/>
      <c r="D14" s="63" t="s">
        <v>123</v>
      </c>
      <c r="E14" s="63"/>
      <c r="F14" s="63"/>
      <c r="J14" s="276"/>
    </row>
    <row r="15" spans="2:10" hidden="1" outlineLevel="1">
      <c r="B15" s="2" t="s">
        <v>6</v>
      </c>
      <c r="D15" s="13" t="s">
        <v>7</v>
      </c>
      <c r="E15" s="13"/>
      <c r="F15" s="13"/>
    </row>
    <row r="16" spans="2:10" ht="30.75" hidden="1" customHeight="1" outlineLevel="1">
      <c r="B16" s="14" t="s">
        <v>8</v>
      </c>
      <c r="C16" s="146"/>
      <c r="D16" s="208" t="s">
        <v>52</v>
      </c>
      <c r="E16" s="208"/>
      <c r="F16" s="13"/>
      <c r="J16" s="276"/>
    </row>
    <row r="17" spans="2:17" ht="21" customHeight="1" collapsed="1" thickBot="1">
      <c r="B17" s="215" t="s">
        <v>144</v>
      </c>
      <c r="C17" s="215"/>
      <c r="D17" s="215"/>
      <c r="E17" s="215"/>
      <c r="F17" s="215"/>
      <c r="G17" s="215"/>
      <c r="H17" s="215"/>
      <c r="I17" s="215"/>
      <c r="M17" s="276"/>
      <c r="N17" s="277" t="s">
        <v>99</v>
      </c>
      <c r="O17" s="277" t="s">
        <v>100</v>
      </c>
      <c r="P17" s="277" t="s">
        <v>101</v>
      </c>
      <c r="Q17" s="277" t="s">
        <v>102</v>
      </c>
    </row>
    <row r="18" spans="2:17" ht="31.5" customHeight="1">
      <c r="B18" s="224" t="s">
        <v>97</v>
      </c>
      <c r="C18" s="218" t="s">
        <v>103</v>
      </c>
      <c r="D18" s="218" t="s">
        <v>121</v>
      </c>
      <c r="E18" s="175" t="s">
        <v>147</v>
      </c>
      <c r="F18" s="210" t="s">
        <v>146</v>
      </c>
      <c r="G18" s="213" t="s">
        <v>104</v>
      </c>
      <c r="H18" s="214"/>
      <c r="I18" s="201" t="s">
        <v>151</v>
      </c>
      <c r="M18" s="276"/>
      <c r="N18" s="277"/>
      <c r="O18" s="277"/>
      <c r="P18" s="277"/>
      <c r="Q18" s="277"/>
    </row>
    <row r="19" spans="2:17" ht="43.5" customHeight="1" thickBot="1">
      <c r="B19" s="225"/>
      <c r="C19" s="219"/>
      <c r="D19" s="219"/>
      <c r="E19" s="176"/>
      <c r="F19" s="211"/>
      <c r="G19" s="16" t="s">
        <v>84</v>
      </c>
      <c r="H19" s="17" t="s">
        <v>85</v>
      </c>
      <c r="I19" s="202"/>
      <c r="N19" s="278">
        <v>121477.25</v>
      </c>
      <c r="O19" s="278">
        <f>246697.95-N19</f>
        <v>125220.70000000001</v>
      </c>
      <c r="P19" s="278">
        <v>114012.07</v>
      </c>
      <c r="Q19" s="278">
        <v>129944.59</v>
      </c>
    </row>
    <row r="20" spans="2:17" ht="52.5" customHeight="1">
      <c r="B20" s="18" t="s">
        <v>89</v>
      </c>
      <c r="C20" s="19" t="s">
        <v>105</v>
      </c>
      <c r="D20" s="20" t="s">
        <v>106</v>
      </c>
      <c r="E20" s="21">
        <v>1.05</v>
      </c>
      <c r="F20" s="21">
        <v>1.06</v>
      </c>
      <c r="G20" s="22">
        <f>($N$19/$N$20*E20)+($O$19/$O$20*F20)</f>
        <v>25847.572442899702</v>
      </c>
      <c r="H20" s="23">
        <f>($P$19/$P$20*E20)+($Q$19/$Q$20*F20)</f>
        <v>25566.4288877855</v>
      </c>
      <c r="I20" s="24">
        <f>G20-H20</f>
        <v>281.14355511420217</v>
      </c>
      <c r="J20" s="279"/>
      <c r="K20" s="280"/>
      <c r="L20" s="280"/>
      <c r="M20" s="281"/>
      <c r="N20" s="282">
        <f>E30-E28-E26</f>
        <v>10.070000000000002</v>
      </c>
      <c r="O20" s="282">
        <f>F30-F28-F26</f>
        <v>10.07</v>
      </c>
      <c r="P20" s="282">
        <f>E30-E28-E26</f>
        <v>10.070000000000002</v>
      </c>
      <c r="Q20" s="282">
        <f>F30-F28-F26</f>
        <v>10.07</v>
      </c>
    </row>
    <row r="21" spans="2:17" ht="51">
      <c r="B21" s="26" t="s">
        <v>93</v>
      </c>
      <c r="C21" s="19" t="s">
        <v>105</v>
      </c>
      <c r="D21" s="20" t="s">
        <v>106</v>
      </c>
      <c r="E21" s="27">
        <v>1.17</v>
      </c>
      <c r="F21" s="27">
        <v>1.19</v>
      </c>
      <c r="G21" s="22">
        <f t="shared" ref="G21:G29" si="0">($N$19/$N$20*E21)+($O$19/$O$20*F21)</f>
        <v>28911.719513406155</v>
      </c>
      <c r="H21" s="23">
        <f t="shared" ref="H21:H25" si="1">($P$19/$P$20*E21)+($Q$19/$Q$20*F21)</f>
        <v>28602.600198609733</v>
      </c>
      <c r="I21" s="24">
        <f t="shared" ref="I21:I27" si="2">G21-H21</f>
        <v>309.11931479642226</v>
      </c>
      <c r="J21" s="283"/>
      <c r="K21" s="284"/>
      <c r="L21" s="284"/>
      <c r="M21" s="284"/>
      <c r="N21" s="285"/>
      <c r="O21" s="284"/>
      <c r="P21" s="284"/>
      <c r="Q21" s="284"/>
    </row>
    <row r="22" spans="2:17" ht="51" customHeight="1">
      <c r="B22" s="30" t="s">
        <v>86</v>
      </c>
      <c r="C22" s="19" t="s">
        <v>105</v>
      </c>
      <c r="D22" s="20" t="s">
        <v>106</v>
      </c>
      <c r="E22" s="27">
        <v>0.27</v>
      </c>
      <c r="F22" s="27">
        <v>0.32</v>
      </c>
      <c r="G22" s="22">
        <f t="shared" si="0"/>
        <v>7236.2940913604762</v>
      </c>
      <c r="H22" s="23">
        <f t="shared" si="1"/>
        <v>7186.2490268123138</v>
      </c>
      <c r="I22" s="24">
        <f t="shared" si="2"/>
        <v>50.045064548162372</v>
      </c>
      <c r="J22" s="286"/>
      <c r="M22" s="276"/>
    </row>
    <row r="23" spans="2:17" ht="26.25" customHeight="1">
      <c r="B23" s="30" t="s">
        <v>87</v>
      </c>
      <c r="C23" s="32" t="s">
        <v>107</v>
      </c>
      <c r="D23" s="20" t="s">
        <v>106</v>
      </c>
      <c r="E23" s="27">
        <v>0.22</v>
      </c>
      <c r="F23" s="27">
        <v>0.28000000000000003</v>
      </c>
      <c r="G23" s="22">
        <f t="shared" si="0"/>
        <v>6135.728997020854</v>
      </c>
      <c r="H23" s="23">
        <f t="shared" si="1"/>
        <v>6103.9861569016884</v>
      </c>
      <c r="I23" s="24">
        <f t="shared" si="2"/>
        <v>31.742840119165521</v>
      </c>
      <c r="J23" s="286"/>
      <c r="M23" s="276"/>
    </row>
    <row r="24" spans="2:17" ht="51">
      <c r="B24" s="26" t="s">
        <v>90</v>
      </c>
      <c r="C24" s="19" t="s">
        <v>170</v>
      </c>
      <c r="D24" s="20" t="s">
        <v>106</v>
      </c>
      <c r="E24" s="27">
        <v>1.33</v>
      </c>
      <c r="F24" s="27">
        <v>1.18</v>
      </c>
      <c r="G24" s="22">
        <f t="shared" si="0"/>
        <v>30717.494389275074</v>
      </c>
      <c r="H24" s="23">
        <f t="shared" si="1"/>
        <v>30285.071429990068</v>
      </c>
      <c r="I24" s="24">
        <f t="shared" si="2"/>
        <v>432.42295928500607</v>
      </c>
      <c r="J24" s="286"/>
    </row>
    <row r="25" spans="2:17" ht="216" customHeight="1">
      <c r="B25" s="26" t="s">
        <v>145</v>
      </c>
      <c r="C25" s="19" t="s">
        <v>109</v>
      </c>
      <c r="D25" s="20" t="s">
        <v>106</v>
      </c>
      <c r="E25" s="27">
        <v>5.6</v>
      </c>
      <c r="F25" s="27">
        <v>5.61</v>
      </c>
      <c r="G25" s="22">
        <f t="shared" si="0"/>
        <v>137314.86861966236</v>
      </c>
      <c r="H25" s="23">
        <f t="shared" si="1"/>
        <v>135795.10843098309</v>
      </c>
      <c r="I25" s="24">
        <f t="shared" si="2"/>
        <v>1519.760188679269</v>
      </c>
      <c r="J25" s="283"/>
      <c r="K25" s="284"/>
      <c r="L25" s="284"/>
      <c r="M25" s="285"/>
      <c r="N25" s="284"/>
      <c r="O25" s="284"/>
      <c r="P25" s="284"/>
      <c r="Q25" s="284"/>
    </row>
    <row r="26" spans="2:17" ht="24">
      <c r="B26" s="30" t="s">
        <v>108</v>
      </c>
      <c r="C26" s="19" t="s">
        <v>107</v>
      </c>
      <c r="D26" s="20" t="s">
        <v>106</v>
      </c>
      <c r="E26" s="27">
        <v>2</v>
      </c>
      <c r="F26" s="27">
        <v>2</v>
      </c>
      <c r="G26" s="22">
        <v>49118.48</v>
      </c>
      <c r="H26" s="28">
        <v>44946.34</v>
      </c>
      <c r="I26" s="24">
        <f>H26-G26</f>
        <v>-4172.1400000000067</v>
      </c>
      <c r="J26" s="286"/>
    </row>
    <row r="27" spans="2:17" ht="102">
      <c r="B27" s="26" t="s">
        <v>111</v>
      </c>
      <c r="C27" s="19" t="s">
        <v>105</v>
      </c>
      <c r="D27" s="20" t="s">
        <v>106</v>
      </c>
      <c r="E27" s="27">
        <v>0.21</v>
      </c>
      <c r="F27" s="27">
        <v>0.24</v>
      </c>
      <c r="G27" s="22">
        <f t="shared" si="0"/>
        <v>5517.6951837140023</v>
      </c>
      <c r="H27" s="23">
        <f t="shared" ref="H27" si="3">($P$19/$P$20*E27)+($Q$19/$Q$20*F27)</f>
        <v>5474.6014200595819</v>
      </c>
      <c r="I27" s="24">
        <f t="shared" si="2"/>
        <v>43.0937636544204</v>
      </c>
      <c r="J27" s="286"/>
    </row>
    <row r="28" spans="2:17" ht="51.75" customHeight="1">
      <c r="B28" s="30" t="s">
        <v>94</v>
      </c>
      <c r="C28" s="19" t="s">
        <v>105</v>
      </c>
      <c r="D28" s="20" t="s">
        <v>106</v>
      </c>
      <c r="E28" s="27">
        <v>3.5</v>
      </c>
      <c r="F28" s="27">
        <v>3.5</v>
      </c>
      <c r="G28" s="22">
        <v>85744.07</v>
      </c>
      <c r="H28" s="28">
        <v>65188</v>
      </c>
      <c r="I28" s="24">
        <f>G28-H28</f>
        <v>20556.070000000007</v>
      </c>
      <c r="J28" s="286"/>
      <c r="M28" s="276"/>
    </row>
    <row r="29" spans="2:17" ht="16.5" thickBot="1">
      <c r="B29" s="33" t="s">
        <v>88</v>
      </c>
      <c r="C29" s="34" t="s">
        <v>109</v>
      </c>
      <c r="D29" s="35" t="s">
        <v>106</v>
      </c>
      <c r="E29" s="36">
        <v>0.22</v>
      </c>
      <c r="F29" s="36">
        <v>0.19</v>
      </c>
      <c r="G29" s="37">
        <f t="shared" si="0"/>
        <v>5016.5767626613706</v>
      </c>
      <c r="H29" s="73">
        <f t="shared" ref="H29" si="4">($P$19/$P$20*E29)+($Q$19/$Q$20*F29)</f>
        <v>4942.6144488579939</v>
      </c>
      <c r="I29" s="24">
        <f>G29-H29</f>
        <v>73.962313803376674</v>
      </c>
      <c r="J29" s="286"/>
    </row>
    <row r="30" spans="2:17" ht="16.5" thickBot="1">
      <c r="B30" s="39" t="s">
        <v>92</v>
      </c>
      <c r="C30" s="40"/>
      <c r="D30" s="40"/>
      <c r="E30" s="41">
        <f>SUM(E20:E29)</f>
        <v>15.570000000000002</v>
      </c>
      <c r="F30" s="42">
        <f>SUM(F20:F29)</f>
        <v>15.57</v>
      </c>
      <c r="G30" s="43">
        <f>SUM(G20:G29)</f>
        <v>381560.5</v>
      </c>
      <c r="H30" s="44">
        <f>SUM(H20:H29)</f>
        <v>354090.99999999994</v>
      </c>
      <c r="I30" s="45">
        <f>SUM(I20:I29)</f>
        <v>19125.220000000023</v>
      </c>
      <c r="J30" s="286"/>
    </row>
    <row r="31" spans="2:17">
      <c r="B31" s="5"/>
      <c r="C31" s="5"/>
      <c r="D31" s="5"/>
      <c r="E31" s="12"/>
      <c r="F31" s="12"/>
      <c r="G31" s="12"/>
      <c r="H31" s="12"/>
      <c r="I31" s="4"/>
    </row>
    <row r="32" spans="2:17" ht="16.5" customHeight="1" thickBot="1">
      <c r="B32" s="177" t="s">
        <v>143</v>
      </c>
      <c r="C32" s="177"/>
      <c r="D32" s="177"/>
      <c r="E32" s="177"/>
      <c r="F32" s="177"/>
      <c r="G32" s="177"/>
      <c r="H32" s="177"/>
      <c r="I32" s="177"/>
      <c r="J32" s="287"/>
      <c r="K32" s="287"/>
    </row>
    <row r="33" spans="2:17" ht="45" customHeight="1">
      <c r="B33" s="46"/>
      <c r="C33" s="47"/>
      <c r="D33" s="182" t="s">
        <v>110</v>
      </c>
      <c r="E33" s="183"/>
      <c r="F33" s="171" t="s">
        <v>9</v>
      </c>
      <c r="G33" s="172"/>
      <c r="H33" s="171" t="s">
        <v>10</v>
      </c>
      <c r="I33" s="223"/>
      <c r="J33" s="288"/>
      <c r="K33" s="289"/>
      <c r="L33" s="290"/>
      <c r="M33" s="291"/>
      <c r="N33" s="292"/>
      <c r="O33" s="292"/>
      <c r="P33" s="292"/>
      <c r="Q33" s="292"/>
    </row>
    <row r="34" spans="2:17">
      <c r="B34" s="48" t="s">
        <v>11</v>
      </c>
      <c r="C34" s="49"/>
      <c r="D34" s="169">
        <f>F34+H34</f>
        <v>381560.5</v>
      </c>
      <c r="E34" s="184"/>
      <c r="F34" s="169">
        <f>246697.95+49118.48</f>
        <v>295816.43</v>
      </c>
      <c r="G34" s="184"/>
      <c r="H34" s="169">
        <f>G28</f>
        <v>85744.07</v>
      </c>
      <c r="I34" s="180"/>
      <c r="J34" s="293"/>
      <c r="K34" s="298"/>
      <c r="L34" s="295">
        <v>28359.8</v>
      </c>
      <c r="M34" s="295">
        <v>409920.3</v>
      </c>
      <c r="N34" s="296">
        <f>M34-L34</f>
        <v>381560.5</v>
      </c>
      <c r="O34" s="297">
        <f>N34-D34</f>
        <v>0</v>
      </c>
    </row>
    <row r="35" spans="2:17">
      <c r="B35" s="48" t="s">
        <v>12</v>
      </c>
      <c r="C35" s="49"/>
      <c r="D35" s="169">
        <f>F35+H35</f>
        <v>353187.26</v>
      </c>
      <c r="E35" s="184"/>
      <c r="F35" s="169">
        <f>228738.8+44946.34</f>
        <v>273685.14</v>
      </c>
      <c r="G35" s="184"/>
      <c r="H35" s="169">
        <v>79502.12</v>
      </c>
      <c r="I35" s="180"/>
      <c r="J35" s="293"/>
      <c r="K35" s="298"/>
      <c r="L35" s="299">
        <v>2971.33</v>
      </c>
      <c r="M35" s="295">
        <v>356158.59</v>
      </c>
      <c r="N35" s="296">
        <f>M35-L35</f>
        <v>353187.26</v>
      </c>
      <c r="O35" s="297">
        <f>N35-D35</f>
        <v>0</v>
      </c>
    </row>
    <row r="36" spans="2:17" ht="16.5" thickBot="1">
      <c r="B36" s="51" t="s">
        <v>91</v>
      </c>
      <c r="C36" s="52"/>
      <c r="D36" s="187">
        <f>F36+H36</f>
        <v>354090.99999999994</v>
      </c>
      <c r="E36" s="189"/>
      <c r="F36" s="187">
        <f>H20+H21+H22+H23+H24+H25+H26+H27+H29</f>
        <v>288902.99999999994</v>
      </c>
      <c r="G36" s="189"/>
      <c r="H36" s="187">
        <f>H28</f>
        <v>65188</v>
      </c>
      <c r="I36" s="220"/>
      <c r="J36" s="293"/>
      <c r="K36" s="298"/>
      <c r="L36" s="286"/>
      <c r="M36" s="286"/>
    </row>
    <row r="37" spans="2:17" ht="30" customHeight="1" thickBot="1">
      <c r="B37" s="53" t="s">
        <v>156</v>
      </c>
      <c r="C37" s="54"/>
      <c r="D37" s="198">
        <f>F37+H37</f>
        <v>-903.73999999993248</v>
      </c>
      <c r="E37" s="199"/>
      <c r="F37" s="191">
        <f>F35-F36</f>
        <v>-15217.859999999928</v>
      </c>
      <c r="G37" s="221"/>
      <c r="H37" s="191">
        <f>H35-H36</f>
        <v>14314.119999999995</v>
      </c>
      <c r="I37" s="222"/>
      <c r="J37" s="293"/>
      <c r="K37" s="298"/>
      <c r="L37" s="286"/>
      <c r="M37" s="286"/>
    </row>
    <row r="38" spans="2:17" ht="28.5" customHeight="1">
      <c r="B38" s="70" t="s">
        <v>79</v>
      </c>
      <c r="C38" s="70"/>
      <c r="D38" s="70"/>
      <c r="E38" s="197" t="s">
        <v>80</v>
      </c>
      <c r="F38" s="197"/>
      <c r="G38" s="195" t="s">
        <v>13</v>
      </c>
      <c r="H38" s="195"/>
      <c r="I38" s="55"/>
      <c r="J38" s="300"/>
      <c r="K38" s="284"/>
      <c r="L38" s="284"/>
      <c r="M38" s="284"/>
      <c r="N38" s="284"/>
      <c r="O38" s="284"/>
      <c r="P38" s="284"/>
      <c r="Q38" s="284"/>
    </row>
    <row r="39" spans="2:17" ht="9" customHeight="1">
      <c r="B39" s="70"/>
      <c r="C39" s="70"/>
      <c r="D39" s="70"/>
      <c r="E39" s="185" t="s">
        <v>14</v>
      </c>
      <c r="F39" s="185"/>
      <c r="G39" s="196"/>
      <c r="H39" s="196"/>
      <c r="I39" s="55"/>
      <c r="J39" s="300"/>
      <c r="K39" s="284"/>
      <c r="L39" s="284"/>
      <c r="M39" s="284"/>
      <c r="N39" s="284"/>
      <c r="O39" s="284"/>
      <c r="P39" s="284"/>
      <c r="Q39" s="284"/>
    </row>
    <row r="40" spans="2:17">
      <c r="B40" s="70" t="s">
        <v>81</v>
      </c>
      <c r="C40" s="70"/>
      <c r="D40" s="70"/>
      <c r="E40" s="186" t="s">
        <v>80</v>
      </c>
      <c r="F40" s="186"/>
      <c r="G40" s="195" t="s">
        <v>96</v>
      </c>
      <c r="H40" s="195"/>
      <c r="I40" s="55"/>
      <c r="J40" s="300"/>
      <c r="K40" s="284"/>
      <c r="L40" s="284"/>
      <c r="M40" s="284"/>
      <c r="N40" s="284"/>
      <c r="O40" s="284"/>
      <c r="P40" s="284"/>
      <c r="Q40" s="284"/>
    </row>
    <row r="41" spans="2:17" ht="9.75" customHeight="1">
      <c r="B41" s="70"/>
      <c r="C41" s="70"/>
      <c r="D41" s="70"/>
      <c r="E41" s="185" t="s">
        <v>14</v>
      </c>
      <c r="F41" s="185"/>
      <c r="G41" s="195"/>
      <c r="H41" s="195"/>
      <c r="I41" s="55"/>
      <c r="J41" s="300"/>
    </row>
    <row r="42" spans="2:17">
      <c r="B42" s="70" t="s">
        <v>82</v>
      </c>
      <c r="C42" s="70"/>
      <c r="D42" s="70"/>
      <c r="E42" s="186" t="s">
        <v>80</v>
      </c>
      <c r="F42" s="186"/>
      <c r="G42" s="195" t="s">
        <v>98</v>
      </c>
      <c r="H42" s="195"/>
      <c r="I42" s="55"/>
      <c r="J42" s="300"/>
    </row>
    <row r="43" spans="2:17" ht="10.5" customHeight="1">
      <c r="B43" s="58"/>
      <c r="C43" s="58"/>
      <c r="D43" s="58"/>
      <c r="E43" s="185" t="s">
        <v>14</v>
      </c>
      <c r="F43" s="185"/>
      <c r="G43" s="59"/>
      <c r="H43" s="57"/>
      <c r="I43" s="60"/>
      <c r="J43" s="296"/>
    </row>
    <row r="44" spans="2:17">
      <c r="B44" s="70" t="s">
        <v>83</v>
      </c>
      <c r="C44" s="70"/>
      <c r="D44" s="70"/>
      <c r="E44" s="186" t="s">
        <v>80</v>
      </c>
      <c r="F44" s="186"/>
      <c r="G44" s="195" t="s">
        <v>142</v>
      </c>
      <c r="H44" s="195"/>
      <c r="I44" s="55"/>
      <c r="J44" s="300"/>
    </row>
    <row r="45" spans="2:17" ht="10.5" customHeight="1">
      <c r="B45" s="8"/>
      <c r="C45" s="8"/>
      <c r="D45" s="8"/>
      <c r="E45" s="185" t="s">
        <v>14</v>
      </c>
      <c r="F45" s="185"/>
      <c r="G45" s="185"/>
      <c r="H45" s="185"/>
      <c r="I45" s="4"/>
      <c r="J45" s="292"/>
    </row>
    <row r="46" spans="2:17">
      <c r="B46" s="8"/>
      <c r="C46" s="157"/>
      <c r="D46" s="78"/>
      <c r="E46" s="79"/>
      <c r="F46" s="79"/>
      <c r="G46" s="8"/>
      <c r="H46" s="8"/>
    </row>
  </sheetData>
  <mergeCells count="46">
    <mergeCell ref="B1:I1"/>
    <mergeCell ref="B6:I7"/>
    <mergeCell ref="D9:F9"/>
    <mergeCell ref="D16:E16"/>
    <mergeCell ref="B17:I17"/>
    <mergeCell ref="B2:I2"/>
    <mergeCell ref="B3:I3"/>
    <mergeCell ref="B4:I4"/>
    <mergeCell ref="F34:G34"/>
    <mergeCell ref="H34:I34"/>
    <mergeCell ref="D33:E33"/>
    <mergeCell ref="D34:E34"/>
    <mergeCell ref="G18:H18"/>
    <mergeCell ref="I18:I19"/>
    <mergeCell ref="F33:G33"/>
    <mergeCell ref="H33:I33"/>
    <mergeCell ref="B32:I32"/>
    <mergeCell ref="B18:B19"/>
    <mergeCell ref="C18:C19"/>
    <mergeCell ref="D18:D19"/>
    <mergeCell ref="E18:E19"/>
    <mergeCell ref="F18:F19"/>
    <mergeCell ref="F36:G36"/>
    <mergeCell ref="H36:I36"/>
    <mergeCell ref="D35:E35"/>
    <mergeCell ref="D36:E36"/>
    <mergeCell ref="F35:G35"/>
    <mergeCell ref="H35:I35"/>
    <mergeCell ref="E38:F38"/>
    <mergeCell ref="D37:E37"/>
    <mergeCell ref="E39:F39"/>
    <mergeCell ref="G39:H39"/>
    <mergeCell ref="H37:I37"/>
    <mergeCell ref="F37:G37"/>
    <mergeCell ref="G38:H38"/>
    <mergeCell ref="E40:F40"/>
    <mergeCell ref="E45:F45"/>
    <mergeCell ref="G45:H45"/>
    <mergeCell ref="G42:H42"/>
    <mergeCell ref="E43:F43"/>
    <mergeCell ref="E44:F44"/>
    <mergeCell ref="G44:H44"/>
    <mergeCell ref="E42:F42"/>
    <mergeCell ref="E41:F41"/>
    <mergeCell ref="G41:H41"/>
    <mergeCell ref="G40:H40"/>
  </mergeCells>
  <printOptions horizontalCentered="1"/>
  <pageMargins left="0.19685039370078741" right="0.19685039370078741" top="0.15748031496062992" bottom="0.23622047244094491" header="0.31496062992125984" footer="0.31496062992125984"/>
  <pageSetup paperSize="9" scale="46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B1:Q48"/>
  <sheetViews>
    <sheetView zoomScale="110" zoomScaleNormal="110" workbookViewId="0">
      <selection activeCell="I22" sqref="I22"/>
    </sheetView>
  </sheetViews>
  <sheetFormatPr defaultColWidth="9.140625" defaultRowHeight="15.75" outlineLevelRow="1"/>
  <cols>
    <col min="1" max="1" width="2.85546875" style="2" customWidth="1"/>
    <col min="2" max="2" width="55.140625" style="2" customWidth="1"/>
    <col min="3" max="3" width="12.140625" style="145" customWidth="1"/>
    <col min="4" max="4" width="9.140625" style="4" customWidth="1"/>
    <col min="5" max="5" width="10.42578125" style="4" customWidth="1"/>
    <col min="6" max="6" width="9.42578125" style="4" customWidth="1"/>
    <col min="7" max="7" width="9.7109375" style="2" customWidth="1"/>
    <col min="8" max="8" width="10.42578125" style="2" customWidth="1"/>
    <col min="9" max="9" width="10" style="2" customWidth="1"/>
    <col min="10" max="13" width="9.140625" style="274"/>
    <col min="14" max="14" width="12.5703125" style="274" customWidth="1"/>
    <col min="15" max="15" width="15.28515625" style="274" customWidth="1"/>
    <col min="16" max="16" width="12.85546875" style="274" customWidth="1"/>
    <col min="17" max="17" width="13.7109375" style="274" customWidth="1"/>
    <col min="18" max="16384" width="9.140625" style="2"/>
  </cols>
  <sheetData>
    <row r="1" spans="2:9">
      <c r="B1" s="168" t="s">
        <v>138</v>
      </c>
      <c r="C1" s="168"/>
      <c r="D1" s="168"/>
      <c r="E1" s="168"/>
      <c r="F1" s="168"/>
      <c r="G1" s="168"/>
      <c r="H1" s="168"/>
      <c r="I1" s="168"/>
    </row>
    <row r="2" spans="2:9">
      <c r="B2" s="168" t="s">
        <v>139</v>
      </c>
      <c r="C2" s="168"/>
      <c r="D2" s="168"/>
      <c r="E2" s="168"/>
      <c r="F2" s="168"/>
      <c r="G2" s="168"/>
      <c r="H2" s="168"/>
      <c r="I2" s="168"/>
    </row>
    <row r="3" spans="2:9">
      <c r="B3" s="168" t="s">
        <v>140</v>
      </c>
      <c r="C3" s="168"/>
      <c r="D3" s="168"/>
      <c r="E3" s="168"/>
      <c r="F3" s="168"/>
      <c r="G3" s="168"/>
      <c r="H3" s="168"/>
      <c r="I3" s="168"/>
    </row>
    <row r="4" spans="2:9">
      <c r="B4" s="168" t="s">
        <v>148</v>
      </c>
      <c r="C4" s="168"/>
      <c r="D4" s="168"/>
      <c r="E4" s="168"/>
      <c r="F4" s="168"/>
      <c r="G4" s="168"/>
      <c r="H4" s="168"/>
      <c r="I4" s="168"/>
    </row>
    <row r="5" spans="2:9" ht="8.25" customHeight="1">
      <c r="B5" s="66"/>
      <c r="C5" s="66"/>
      <c r="D5" s="66"/>
      <c r="E5" s="66"/>
      <c r="F5" s="66"/>
      <c r="G5" s="66"/>
      <c r="H5" s="66"/>
      <c r="I5" s="66"/>
    </row>
    <row r="6" spans="2:9" ht="23.25" customHeight="1">
      <c r="B6" s="200" t="s">
        <v>141</v>
      </c>
      <c r="C6" s="200"/>
      <c r="D6" s="200"/>
      <c r="E6" s="200"/>
      <c r="F6" s="200"/>
      <c r="G6" s="200"/>
      <c r="H6" s="200"/>
      <c r="I6" s="200"/>
    </row>
    <row r="7" spans="2:9" ht="20.25" customHeight="1">
      <c r="B7" s="200"/>
      <c r="C7" s="200"/>
      <c r="D7" s="200"/>
      <c r="E7" s="200"/>
      <c r="F7" s="200"/>
      <c r="G7" s="200"/>
      <c r="H7" s="200"/>
      <c r="I7" s="200"/>
    </row>
    <row r="8" spans="2:9" ht="8.25" customHeight="1"/>
    <row r="9" spans="2:9">
      <c r="B9" s="6" t="s">
        <v>0</v>
      </c>
      <c r="C9" s="155"/>
      <c r="D9" s="207" t="s">
        <v>53</v>
      </c>
      <c r="E9" s="207"/>
      <c r="F9" s="207"/>
    </row>
    <row r="10" spans="2:9">
      <c r="B10" s="6" t="s">
        <v>1</v>
      </c>
      <c r="C10" s="155"/>
      <c r="D10" s="63">
        <v>1966</v>
      </c>
      <c r="E10" s="63"/>
      <c r="F10" s="63"/>
    </row>
    <row r="11" spans="2:9" hidden="1" outlineLevel="1">
      <c r="B11" s="6" t="s">
        <v>2</v>
      </c>
      <c r="C11" s="155"/>
      <c r="D11" s="63">
        <v>4</v>
      </c>
      <c r="E11" s="63"/>
      <c r="F11" s="63"/>
    </row>
    <row r="12" spans="2:9" hidden="1" outlineLevel="1">
      <c r="B12" s="6" t="s">
        <v>3</v>
      </c>
      <c r="C12" s="155"/>
      <c r="D12" s="63">
        <v>48</v>
      </c>
      <c r="E12" s="63"/>
      <c r="F12" s="63"/>
    </row>
    <row r="13" spans="2:9" ht="30.75" hidden="1" customHeight="1" outlineLevel="1">
      <c r="B13" s="64" t="s">
        <v>4</v>
      </c>
      <c r="C13" s="156"/>
      <c r="D13" s="63" t="s">
        <v>54</v>
      </c>
      <c r="E13" s="63"/>
      <c r="F13" s="63"/>
    </row>
    <row r="14" spans="2:9" collapsed="1">
      <c r="B14" s="6" t="s">
        <v>5</v>
      </c>
      <c r="C14" s="155"/>
      <c r="D14" s="63" t="s">
        <v>124</v>
      </c>
      <c r="E14" s="63"/>
      <c r="F14" s="63"/>
      <c r="I14" s="5"/>
    </row>
    <row r="15" spans="2:9" hidden="1" outlineLevel="1">
      <c r="B15" s="2" t="s">
        <v>6</v>
      </c>
      <c r="D15" s="13" t="s">
        <v>7</v>
      </c>
      <c r="E15" s="13"/>
      <c r="F15" s="13"/>
    </row>
    <row r="16" spans="2:9" ht="30.75" hidden="1" customHeight="1" outlineLevel="1">
      <c r="B16" s="14" t="s">
        <v>8</v>
      </c>
      <c r="C16" s="146"/>
      <c r="D16" s="208" t="s">
        <v>55</v>
      </c>
      <c r="E16" s="208"/>
      <c r="F16" s="13"/>
      <c r="I16" s="5"/>
    </row>
    <row r="17" spans="2:17" ht="22.5" customHeight="1" collapsed="1" thickBot="1">
      <c r="B17" s="215" t="s">
        <v>144</v>
      </c>
      <c r="C17" s="215"/>
      <c r="D17" s="215"/>
      <c r="E17" s="215"/>
      <c r="F17" s="215"/>
      <c r="G17" s="215"/>
      <c r="H17" s="215"/>
      <c r="I17" s="215"/>
      <c r="M17" s="276"/>
      <c r="N17" s="277" t="s">
        <v>99</v>
      </c>
      <c r="O17" s="277" t="s">
        <v>100</v>
      </c>
      <c r="P17" s="277" t="s">
        <v>101</v>
      </c>
      <c r="Q17" s="277" t="s">
        <v>102</v>
      </c>
    </row>
    <row r="18" spans="2:17" ht="33.75" customHeight="1">
      <c r="B18" s="224" t="s">
        <v>97</v>
      </c>
      <c r="C18" s="218" t="s">
        <v>103</v>
      </c>
      <c r="D18" s="218" t="s">
        <v>121</v>
      </c>
      <c r="E18" s="175" t="s">
        <v>147</v>
      </c>
      <c r="F18" s="210" t="s">
        <v>146</v>
      </c>
      <c r="G18" s="213" t="s">
        <v>104</v>
      </c>
      <c r="H18" s="214"/>
      <c r="I18" s="201" t="s">
        <v>151</v>
      </c>
      <c r="M18" s="276"/>
      <c r="N18" s="277"/>
      <c r="O18" s="277"/>
      <c r="P18" s="277"/>
      <c r="Q18" s="277"/>
    </row>
    <row r="19" spans="2:17" ht="37.5" customHeight="1" thickBot="1">
      <c r="B19" s="225"/>
      <c r="C19" s="219"/>
      <c r="D19" s="219"/>
      <c r="E19" s="176"/>
      <c r="F19" s="211"/>
      <c r="G19" s="16" t="s">
        <v>84</v>
      </c>
      <c r="H19" s="17" t="s">
        <v>85</v>
      </c>
      <c r="I19" s="202"/>
      <c r="N19" s="278">
        <v>126350.63</v>
      </c>
      <c r="O19" s="278">
        <f>252701.26-N19</f>
        <v>126350.63</v>
      </c>
      <c r="P19" s="278">
        <v>110064.44</v>
      </c>
      <c r="Q19" s="278">
        <v>125445.29</v>
      </c>
    </row>
    <row r="20" spans="2:17" ht="54.75" customHeight="1">
      <c r="B20" s="18" t="s">
        <v>89</v>
      </c>
      <c r="C20" s="19" t="s">
        <v>105</v>
      </c>
      <c r="D20" s="20" t="s">
        <v>106</v>
      </c>
      <c r="E20" s="21">
        <v>1.05</v>
      </c>
      <c r="F20" s="21">
        <v>1.06</v>
      </c>
      <c r="G20" s="22">
        <f>($N$19/$N$20*E20)+($O$19/$O$20*F20)</f>
        <v>25198.471578449902</v>
      </c>
      <c r="H20" s="23">
        <f>($P$19/$P$20*E20)+($Q$19/$Q$20*F20)</f>
        <v>23491.462136105856</v>
      </c>
      <c r="I20" s="24">
        <f>G20-H20</f>
        <v>1707.009442344046</v>
      </c>
      <c r="J20" s="279"/>
      <c r="K20" s="280"/>
      <c r="L20" s="280"/>
      <c r="M20" s="281"/>
      <c r="N20" s="282">
        <f>E31-E29-E27</f>
        <v>10.580000000000002</v>
      </c>
      <c r="O20" s="282">
        <f>F31-F29-F27</f>
        <v>10.580000000000002</v>
      </c>
      <c r="P20" s="282">
        <f>E31-E29-E27</f>
        <v>10.580000000000002</v>
      </c>
      <c r="Q20" s="282">
        <f>F31-F29-F27</f>
        <v>10.580000000000002</v>
      </c>
    </row>
    <row r="21" spans="2:17" ht="51">
      <c r="B21" s="26" t="s">
        <v>93</v>
      </c>
      <c r="C21" s="19" t="s">
        <v>105</v>
      </c>
      <c r="D21" s="20" t="s">
        <v>106</v>
      </c>
      <c r="E21" s="27">
        <v>1.17</v>
      </c>
      <c r="F21" s="27">
        <v>1.19</v>
      </c>
      <c r="G21" s="22">
        <f t="shared" ref="G21:G30" si="0">($N$19/$N$20*E21)+($O$19/$O$20*F21)</f>
        <v>28184.072476370508</v>
      </c>
      <c r="H21" s="23">
        <f t="shared" ref="H21:H26" si="1">($P$19/$P$20*E21)+($Q$19/$Q$20*F21)</f>
        <v>26281.218327032133</v>
      </c>
      <c r="I21" s="24">
        <f t="shared" ref="I21:I28" si="2">G21-H21</f>
        <v>1902.8541493383746</v>
      </c>
      <c r="J21" s="283"/>
      <c r="K21" s="284"/>
      <c r="L21" s="284"/>
      <c r="M21" s="284"/>
      <c r="N21" s="285"/>
      <c r="O21" s="284"/>
      <c r="P21" s="284"/>
      <c r="Q21" s="284"/>
    </row>
    <row r="22" spans="2:17" ht="51.75" customHeight="1">
      <c r="B22" s="30" t="s">
        <v>86</v>
      </c>
      <c r="C22" s="19" t="s">
        <v>105</v>
      </c>
      <c r="D22" s="20" t="s">
        <v>106</v>
      </c>
      <c r="E22" s="27">
        <v>0.27</v>
      </c>
      <c r="F22" s="27">
        <v>0.32</v>
      </c>
      <c r="G22" s="22">
        <f t="shared" si="0"/>
        <v>7046.0181190926269</v>
      </c>
      <c r="H22" s="23">
        <f t="shared" si="1"/>
        <v>6603.0143289224943</v>
      </c>
      <c r="I22" s="24">
        <f t="shared" si="2"/>
        <v>443.00379017013256</v>
      </c>
      <c r="J22" s="286"/>
      <c r="M22" s="276"/>
    </row>
    <row r="23" spans="2:17">
      <c r="B23" s="30" t="s">
        <v>184</v>
      </c>
      <c r="C23" s="19" t="s">
        <v>183</v>
      </c>
      <c r="D23" s="20" t="s">
        <v>106</v>
      </c>
      <c r="E23" s="27"/>
      <c r="F23" s="27"/>
      <c r="G23" s="22"/>
      <c r="H23" s="23">
        <v>10748</v>
      </c>
      <c r="I23" s="24">
        <f t="shared" si="2"/>
        <v>-10748</v>
      </c>
      <c r="J23" s="286"/>
      <c r="M23" s="276"/>
    </row>
    <row r="24" spans="2:17" ht="25.5">
      <c r="B24" s="30" t="s">
        <v>87</v>
      </c>
      <c r="C24" s="32" t="s">
        <v>107</v>
      </c>
      <c r="D24" s="20" t="s">
        <v>106</v>
      </c>
      <c r="E24" s="27">
        <v>0.24</v>
      </c>
      <c r="F24" s="27">
        <v>0.26</v>
      </c>
      <c r="G24" s="22">
        <f t="shared" si="0"/>
        <v>5971.2017958412089</v>
      </c>
      <c r="H24" s="23">
        <f t="shared" si="1"/>
        <v>5579.5123818525508</v>
      </c>
      <c r="I24" s="24">
        <f t="shared" si="2"/>
        <v>391.68941398865809</v>
      </c>
      <c r="J24" s="286"/>
      <c r="M24" s="276"/>
    </row>
    <row r="25" spans="2:17" ht="51">
      <c r="B25" s="26" t="s">
        <v>90</v>
      </c>
      <c r="C25" s="19" t="s">
        <v>170</v>
      </c>
      <c r="D25" s="20" t="s">
        <v>106</v>
      </c>
      <c r="E25" s="27">
        <v>1.33</v>
      </c>
      <c r="F25" s="27">
        <v>1.18</v>
      </c>
      <c r="G25" s="22">
        <f t="shared" si="0"/>
        <v>29975.433015122868</v>
      </c>
      <c r="H25" s="23">
        <f t="shared" si="1"/>
        <v>27827.140586011337</v>
      </c>
      <c r="I25" s="24">
        <f t="shared" si="2"/>
        <v>2148.2924291115305</v>
      </c>
      <c r="J25" s="286"/>
    </row>
    <row r="26" spans="2:17" ht="224.25" customHeight="1">
      <c r="B26" s="26" t="s">
        <v>145</v>
      </c>
      <c r="C26" s="19" t="s">
        <v>109</v>
      </c>
      <c r="D26" s="20" t="s">
        <v>106</v>
      </c>
      <c r="E26" s="27">
        <v>5.6</v>
      </c>
      <c r="F26" s="27">
        <v>5.61</v>
      </c>
      <c r="G26" s="22">
        <f t="shared" si="0"/>
        <v>133874.3442627599</v>
      </c>
      <c r="H26" s="23">
        <f t="shared" si="1"/>
        <v>124774.00197542532</v>
      </c>
      <c r="I26" s="24">
        <f t="shared" si="2"/>
        <v>9100.3422873345844</v>
      </c>
      <c r="J26" s="283"/>
      <c r="K26" s="284"/>
      <c r="L26" s="284"/>
      <c r="M26" s="285"/>
      <c r="N26" s="284"/>
      <c r="O26" s="284"/>
      <c r="P26" s="284"/>
      <c r="Q26" s="284"/>
    </row>
    <row r="27" spans="2:17" ht="24">
      <c r="B27" s="30" t="s">
        <v>108</v>
      </c>
      <c r="C27" s="19" t="s">
        <v>107</v>
      </c>
      <c r="D27" s="20" t="s">
        <v>106</v>
      </c>
      <c r="E27" s="27">
        <v>2</v>
      </c>
      <c r="F27" s="27">
        <v>2</v>
      </c>
      <c r="G27" s="22">
        <v>47769.599999999999</v>
      </c>
      <c r="H27" s="28">
        <v>39145.089999999997</v>
      </c>
      <c r="I27" s="24">
        <f>H27-G27</f>
        <v>-8624.510000000002</v>
      </c>
      <c r="J27" s="286"/>
    </row>
    <row r="28" spans="2:17" ht="102">
      <c r="B28" s="26" t="s">
        <v>111</v>
      </c>
      <c r="C28" s="19" t="s">
        <v>105</v>
      </c>
      <c r="D28" s="20" t="s">
        <v>106</v>
      </c>
      <c r="E28" s="27">
        <v>0.21</v>
      </c>
      <c r="F28" s="27">
        <v>0.24</v>
      </c>
      <c r="G28" s="22">
        <f t="shared" si="0"/>
        <v>5374.0816162570882</v>
      </c>
      <c r="H28" s="23">
        <f t="shared" ref="H28" si="3">($P$19/$P$20*E28)+($Q$19/$Q$20*F28)</f>
        <v>5030.2837429111514</v>
      </c>
      <c r="I28" s="24">
        <f t="shared" si="2"/>
        <v>343.79787334593675</v>
      </c>
      <c r="J28" s="286"/>
    </row>
    <row r="29" spans="2:17" ht="52.5" customHeight="1">
      <c r="B29" s="30" t="s">
        <v>94</v>
      </c>
      <c r="C29" s="19" t="s">
        <v>105</v>
      </c>
      <c r="D29" s="20" t="s">
        <v>106</v>
      </c>
      <c r="E29" s="27">
        <v>3</v>
      </c>
      <c r="F29" s="27">
        <v>3</v>
      </c>
      <c r="G29" s="22">
        <v>71654.42</v>
      </c>
      <c r="H29" s="28">
        <v>60160</v>
      </c>
      <c r="I29" s="24">
        <f>G29-H29</f>
        <v>11494.419999999998</v>
      </c>
      <c r="J29" s="286"/>
      <c r="M29" s="276"/>
    </row>
    <row r="30" spans="2:17" ht="16.5" thickBot="1">
      <c r="B30" s="69" t="s">
        <v>88</v>
      </c>
      <c r="C30" s="34" t="s">
        <v>109</v>
      </c>
      <c r="D30" s="35" t="s">
        <v>106</v>
      </c>
      <c r="E30" s="36">
        <v>0.71</v>
      </c>
      <c r="F30" s="36">
        <v>0.72</v>
      </c>
      <c r="G30" s="37">
        <f t="shared" si="0"/>
        <v>17077.637136105855</v>
      </c>
      <c r="H30" s="73">
        <f t="shared" ref="H30" si="4">($P$19/$P$20*E30)+($Q$19/$Q$20*F30)</f>
        <v>15923.096521739126</v>
      </c>
      <c r="I30" s="24">
        <f>G30-H30</f>
        <v>1154.5406143667296</v>
      </c>
      <c r="J30" s="286"/>
    </row>
    <row r="31" spans="2:17" ht="16.5" thickBot="1">
      <c r="B31" s="39" t="s">
        <v>92</v>
      </c>
      <c r="C31" s="40"/>
      <c r="D31" s="40"/>
      <c r="E31" s="41">
        <f>SUM(E20:E30)</f>
        <v>15.580000000000002</v>
      </c>
      <c r="F31" s="42">
        <f>SUM(F20:F30)</f>
        <v>15.580000000000002</v>
      </c>
      <c r="G31" s="43">
        <f>SUM(G20:G30)</f>
        <v>372125.27999999991</v>
      </c>
      <c r="H31" s="44">
        <f>SUM(H20:H30)</f>
        <v>345562.81999999995</v>
      </c>
      <c r="I31" s="45">
        <f>SUM(I20:I30)</f>
        <v>9313.4399999999878</v>
      </c>
      <c r="J31" s="286"/>
    </row>
    <row r="32" spans="2:17">
      <c r="B32" s="5"/>
      <c r="C32" s="5"/>
      <c r="D32" s="5"/>
      <c r="E32" s="12"/>
      <c r="F32" s="12"/>
      <c r="G32" s="12"/>
      <c r="H32" s="12"/>
      <c r="I32" s="4"/>
    </row>
    <row r="33" spans="2:17" ht="16.5" customHeight="1" thickBot="1">
      <c r="B33" s="177" t="s">
        <v>143</v>
      </c>
      <c r="C33" s="177"/>
      <c r="D33" s="177"/>
      <c r="E33" s="177"/>
      <c r="F33" s="177"/>
      <c r="G33" s="177"/>
      <c r="H33" s="177"/>
      <c r="I33" s="177"/>
      <c r="J33" s="287"/>
      <c r="K33" s="287"/>
    </row>
    <row r="34" spans="2:17" ht="52.5" customHeight="1">
      <c r="B34" s="46"/>
      <c r="C34" s="47"/>
      <c r="D34" s="182" t="s">
        <v>110</v>
      </c>
      <c r="E34" s="183"/>
      <c r="F34" s="171" t="s">
        <v>9</v>
      </c>
      <c r="G34" s="172"/>
      <c r="H34" s="171" t="s">
        <v>182</v>
      </c>
      <c r="I34" s="223"/>
      <c r="J34" s="288"/>
      <c r="K34" s="289"/>
      <c r="L34" s="290"/>
      <c r="M34" s="291"/>
      <c r="N34" s="292"/>
      <c r="O34" s="292"/>
      <c r="P34" s="292"/>
      <c r="Q34" s="292"/>
    </row>
    <row r="35" spans="2:17">
      <c r="B35" s="48" t="s">
        <v>11</v>
      </c>
      <c r="C35" s="49"/>
      <c r="D35" s="169">
        <f>F35+H35</f>
        <v>372125.27999999997</v>
      </c>
      <c r="E35" s="184"/>
      <c r="F35" s="169">
        <f>252701.26+47769.6</f>
        <v>300470.86</v>
      </c>
      <c r="G35" s="184"/>
      <c r="H35" s="169">
        <f>G29</f>
        <v>71654.42</v>
      </c>
      <c r="I35" s="180"/>
      <c r="J35" s="293"/>
      <c r="K35" s="298"/>
      <c r="L35" s="295">
        <v>62934.92</v>
      </c>
      <c r="M35" s="295">
        <v>435060.2</v>
      </c>
      <c r="N35" s="296">
        <f>M35-L35</f>
        <v>372125.28</v>
      </c>
      <c r="O35" s="297">
        <f>N35-D35</f>
        <v>0</v>
      </c>
    </row>
    <row r="36" spans="2:17">
      <c r="B36" s="48" t="s">
        <v>12</v>
      </c>
      <c r="C36" s="49"/>
      <c r="D36" s="169">
        <f>F36+H36</f>
        <v>304683.62</v>
      </c>
      <c r="E36" s="184"/>
      <c r="F36" s="169">
        <f>206877.56+39145.09</f>
        <v>246022.65</v>
      </c>
      <c r="G36" s="184"/>
      <c r="H36" s="169">
        <v>58660.97</v>
      </c>
      <c r="I36" s="180"/>
      <c r="J36" s="293"/>
      <c r="K36" s="298"/>
      <c r="L36" s="299">
        <v>1457.76</v>
      </c>
      <c r="M36" s="295">
        <v>306141.38</v>
      </c>
      <c r="N36" s="296">
        <f>M36-L36</f>
        <v>304683.62</v>
      </c>
      <c r="O36" s="297">
        <f>N36-D36</f>
        <v>0</v>
      </c>
    </row>
    <row r="37" spans="2:17" ht="16.5" thickBot="1">
      <c r="B37" s="51" t="s">
        <v>91</v>
      </c>
      <c r="C37" s="52"/>
      <c r="D37" s="187">
        <f>F37+H37</f>
        <v>345562.82</v>
      </c>
      <c r="E37" s="189"/>
      <c r="F37" s="187">
        <f>H20+H21+H22+H24+H25+H26+H27+H28+H30</f>
        <v>274654.82</v>
      </c>
      <c r="G37" s="189"/>
      <c r="H37" s="187">
        <f>H29+H23</f>
        <v>70908</v>
      </c>
      <c r="I37" s="220"/>
      <c r="J37" s="293"/>
      <c r="K37" s="298"/>
      <c r="L37" s="286"/>
      <c r="M37" s="286"/>
    </row>
    <row r="38" spans="2:17" ht="36.75" thickBot="1">
      <c r="B38" s="53" t="s">
        <v>156</v>
      </c>
      <c r="C38" s="54"/>
      <c r="D38" s="198">
        <f>F38+H38</f>
        <v>-40879.200000000012</v>
      </c>
      <c r="E38" s="199"/>
      <c r="F38" s="191">
        <f>F36-F37</f>
        <v>-28632.170000000013</v>
      </c>
      <c r="G38" s="221"/>
      <c r="H38" s="191">
        <f>H36-H37</f>
        <v>-12247.029999999999</v>
      </c>
      <c r="I38" s="222"/>
      <c r="J38" s="293"/>
      <c r="K38" s="298"/>
      <c r="L38" s="286"/>
      <c r="M38" s="286"/>
    </row>
    <row r="39" spans="2:17" ht="37.5" customHeight="1">
      <c r="B39" s="70" t="s">
        <v>79</v>
      </c>
      <c r="C39" s="70"/>
      <c r="D39" s="70"/>
      <c r="E39" s="212" t="s">
        <v>80</v>
      </c>
      <c r="F39" s="212"/>
      <c r="G39" s="195" t="s">
        <v>13</v>
      </c>
      <c r="H39" s="195"/>
      <c r="I39" s="55"/>
      <c r="J39" s="300"/>
      <c r="K39" s="284"/>
      <c r="L39" s="284"/>
      <c r="M39" s="284"/>
      <c r="N39" s="284"/>
      <c r="O39" s="284"/>
      <c r="P39" s="284"/>
      <c r="Q39" s="284"/>
    </row>
    <row r="40" spans="2:17" ht="9" customHeight="1">
      <c r="B40" s="70"/>
      <c r="C40" s="70"/>
      <c r="D40" s="70"/>
      <c r="E40" s="185" t="s">
        <v>14</v>
      </c>
      <c r="F40" s="185"/>
      <c r="G40" s="196"/>
      <c r="H40" s="196"/>
      <c r="I40" s="55"/>
      <c r="J40" s="300"/>
      <c r="K40" s="284"/>
      <c r="L40" s="284"/>
      <c r="M40" s="284"/>
      <c r="N40" s="284"/>
      <c r="O40" s="284"/>
      <c r="P40" s="284"/>
      <c r="Q40" s="284"/>
    </row>
    <row r="41" spans="2:17">
      <c r="B41" s="70" t="s">
        <v>81</v>
      </c>
      <c r="C41" s="70"/>
      <c r="D41" s="70"/>
      <c r="E41" s="186" t="s">
        <v>80</v>
      </c>
      <c r="F41" s="186"/>
      <c r="G41" s="195" t="s">
        <v>96</v>
      </c>
      <c r="H41" s="195"/>
      <c r="I41" s="55"/>
      <c r="J41" s="300"/>
      <c r="K41" s="284"/>
      <c r="L41" s="284"/>
      <c r="M41" s="284"/>
      <c r="N41" s="284"/>
      <c r="O41" s="284"/>
      <c r="P41" s="284"/>
      <c r="Q41" s="284"/>
    </row>
    <row r="42" spans="2:17" ht="7.5" customHeight="1">
      <c r="B42" s="70"/>
      <c r="C42" s="70"/>
      <c r="D42" s="70"/>
      <c r="E42" s="185" t="s">
        <v>14</v>
      </c>
      <c r="F42" s="185"/>
      <c r="G42" s="195"/>
      <c r="H42" s="195"/>
      <c r="I42" s="55"/>
      <c r="J42" s="300"/>
    </row>
    <row r="43" spans="2:17">
      <c r="B43" s="70" t="s">
        <v>82</v>
      </c>
      <c r="C43" s="70"/>
      <c r="D43" s="70"/>
      <c r="E43" s="186" t="s">
        <v>80</v>
      </c>
      <c r="F43" s="186"/>
      <c r="G43" s="195" t="s">
        <v>98</v>
      </c>
      <c r="H43" s="195"/>
      <c r="I43" s="55"/>
      <c r="J43" s="300"/>
    </row>
    <row r="44" spans="2:17" ht="10.5" customHeight="1">
      <c r="B44" s="58"/>
      <c r="C44" s="58"/>
      <c r="D44" s="58"/>
      <c r="E44" s="185" t="s">
        <v>14</v>
      </c>
      <c r="F44" s="185"/>
      <c r="G44" s="59"/>
      <c r="H44" s="57"/>
      <c r="I44" s="60"/>
      <c r="J44" s="296"/>
    </row>
    <row r="45" spans="2:17">
      <c r="B45" s="70" t="s">
        <v>83</v>
      </c>
      <c r="C45" s="70"/>
      <c r="D45" s="70"/>
      <c r="E45" s="186" t="s">
        <v>80</v>
      </c>
      <c r="F45" s="186"/>
      <c r="G45" s="195" t="s">
        <v>142</v>
      </c>
      <c r="H45" s="195"/>
      <c r="I45" s="55"/>
      <c r="J45" s="300"/>
    </row>
    <row r="46" spans="2:17" ht="12" customHeight="1">
      <c r="B46" s="8"/>
      <c r="C46" s="157"/>
      <c r="D46" s="78"/>
      <c r="E46" s="185" t="s">
        <v>14</v>
      </c>
      <c r="F46" s="185"/>
      <c r="G46" s="8"/>
      <c r="H46" s="8"/>
    </row>
    <row r="47" spans="2:17">
      <c r="B47" s="8"/>
      <c r="C47" s="157"/>
      <c r="D47" s="78"/>
      <c r="E47" s="78"/>
      <c r="F47" s="78"/>
      <c r="G47" s="8"/>
      <c r="H47" s="8"/>
    </row>
    <row r="48" spans="2:17">
      <c r="B48" s="8"/>
      <c r="C48" s="157"/>
      <c r="D48" s="78"/>
      <c r="E48" s="78"/>
      <c r="F48" s="78"/>
      <c r="G48" s="8"/>
      <c r="H48" s="8"/>
    </row>
  </sheetData>
  <mergeCells count="45">
    <mergeCell ref="E18:E19"/>
    <mergeCell ref="F18:F19"/>
    <mergeCell ref="G18:H18"/>
    <mergeCell ref="I18:I19"/>
    <mergeCell ref="H35:I35"/>
    <mergeCell ref="B33:I33"/>
    <mergeCell ref="F35:G35"/>
    <mergeCell ref="B1:I1"/>
    <mergeCell ref="B6:I7"/>
    <mergeCell ref="D9:F9"/>
    <mergeCell ref="D16:E16"/>
    <mergeCell ref="E40:F40"/>
    <mergeCell ref="G40:H40"/>
    <mergeCell ref="F37:G37"/>
    <mergeCell ref="F36:G36"/>
    <mergeCell ref="H36:I36"/>
    <mergeCell ref="H34:I34"/>
    <mergeCell ref="B17:I17"/>
    <mergeCell ref="B18:B19"/>
    <mergeCell ref="C18:C19"/>
    <mergeCell ref="D18:D19"/>
    <mergeCell ref="H38:I38"/>
    <mergeCell ref="F38:G38"/>
    <mergeCell ref="G45:H45"/>
    <mergeCell ref="G42:H42"/>
    <mergeCell ref="E43:F43"/>
    <mergeCell ref="G43:H43"/>
    <mergeCell ref="E42:F42"/>
    <mergeCell ref="E44:F44"/>
    <mergeCell ref="B2:I2"/>
    <mergeCell ref="B3:I3"/>
    <mergeCell ref="B4:I4"/>
    <mergeCell ref="E46:F46"/>
    <mergeCell ref="D34:E34"/>
    <mergeCell ref="D35:E35"/>
    <mergeCell ref="D36:E36"/>
    <mergeCell ref="D37:E37"/>
    <mergeCell ref="D38:E38"/>
    <mergeCell ref="E45:F45"/>
    <mergeCell ref="E41:F41"/>
    <mergeCell ref="E39:F39"/>
    <mergeCell ref="F34:G34"/>
    <mergeCell ref="G41:H41"/>
    <mergeCell ref="G39:H39"/>
    <mergeCell ref="H37:I37"/>
  </mergeCells>
  <printOptions horizontalCentered="1"/>
  <pageMargins left="0.23622047244094491" right="0.19685039370078741" top="0.15748031496062992" bottom="0.23622047244094491" header="0.31496062992125984" footer="0.31496062992125984"/>
  <pageSetup paperSize="9" scale="4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B1:Q47"/>
  <sheetViews>
    <sheetView zoomScale="110" zoomScaleNormal="110" workbookViewId="0">
      <selection activeCell="I22" sqref="I22"/>
    </sheetView>
  </sheetViews>
  <sheetFormatPr defaultColWidth="9.140625" defaultRowHeight="15.75" outlineLevelRow="1"/>
  <cols>
    <col min="1" max="1" width="2.85546875" style="2" customWidth="1"/>
    <col min="2" max="2" width="56.140625" style="2" customWidth="1"/>
    <col min="3" max="3" width="11.5703125" style="4" customWidth="1"/>
    <col min="4" max="4" width="8.42578125" style="4" customWidth="1"/>
    <col min="5" max="5" width="9.28515625" style="4" customWidth="1"/>
    <col min="6" max="6" width="9.5703125" style="4" customWidth="1"/>
    <col min="7" max="7" width="10.42578125" style="2" customWidth="1"/>
    <col min="8" max="8" width="10.28515625" style="2" customWidth="1"/>
    <col min="9" max="9" width="11.140625" style="2" customWidth="1"/>
    <col min="10" max="10" width="9.7109375" style="274" customWidth="1"/>
    <col min="11" max="13" width="9.140625" style="274"/>
    <col min="14" max="14" width="14.140625" style="274" customWidth="1"/>
    <col min="15" max="15" width="13.140625" style="274" customWidth="1"/>
    <col min="16" max="16" width="13" style="274" customWidth="1"/>
    <col min="17" max="17" width="13.5703125" style="274" customWidth="1"/>
    <col min="18" max="16384" width="9.140625" style="2"/>
  </cols>
  <sheetData>
    <row r="1" spans="2:10">
      <c r="B1" s="168" t="s">
        <v>138</v>
      </c>
      <c r="C1" s="168"/>
      <c r="D1" s="168"/>
      <c r="E1" s="168"/>
      <c r="F1" s="168"/>
      <c r="G1" s="168"/>
      <c r="H1" s="168"/>
      <c r="I1" s="168"/>
    </row>
    <row r="2" spans="2:10">
      <c r="B2" s="168" t="s">
        <v>139</v>
      </c>
      <c r="C2" s="168"/>
      <c r="D2" s="168"/>
      <c r="E2" s="168"/>
      <c r="F2" s="168"/>
      <c r="G2" s="168"/>
      <c r="H2" s="168"/>
      <c r="I2" s="168"/>
    </row>
    <row r="3" spans="2:10">
      <c r="B3" s="168" t="s">
        <v>140</v>
      </c>
      <c r="C3" s="168"/>
      <c r="D3" s="168"/>
      <c r="E3" s="168"/>
      <c r="F3" s="168"/>
      <c r="G3" s="168"/>
      <c r="H3" s="168"/>
      <c r="I3" s="168"/>
    </row>
    <row r="4" spans="2:10">
      <c r="B4" s="168" t="s">
        <v>148</v>
      </c>
      <c r="C4" s="168"/>
      <c r="D4" s="168"/>
      <c r="E4" s="168"/>
      <c r="F4" s="168"/>
      <c r="G4" s="168"/>
      <c r="H4" s="168"/>
      <c r="I4" s="168"/>
    </row>
    <row r="5" spans="2:10" ht="9" customHeight="1">
      <c r="B5" s="66"/>
      <c r="C5" s="66"/>
      <c r="D5" s="66"/>
      <c r="E5" s="66"/>
      <c r="F5" s="66"/>
      <c r="G5" s="66"/>
      <c r="H5" s="66"/>
      <c r="I5" s="66"/>
    </row>
    <row r="6" spans="2:10" ht="19.5" customHeight="1">
      <c r="B6" s="200" t="s">
        <v>141</v>
      </c>
      <c r="C6" s="200"/>
      <c r="D6" s="200"/>
      <c r="E6" s="200"/>
      <c r="F6" s="200"/>
      <c r="G6" s="200"/>
      <c r="H6" s="200"/>
      <c r="I6" s="200"/>
    </row>
    <row r="7" spans="2:10" ht="20.25" customHeight="1">
      <c r="B7" s="200"/>
      <c r="C7" s="200"/>
      <c r="D7" s="200"/>
      <c r="E7" s="200"/>
      <c r="F7" s="200"/>
      <c r="G7" s="200"/>
      <c r="H7" s="200"/>
      <c r="I7" s="200"/>
    </row>
    <row r="8" spans="2:10" ht="8.25" customHeight="1"/>
    <row r="9" spans="2:10">
      <c r="B9" s="6" t="s">
        <v>0</v>
      </c>
      <c r="C9" s="60"/>
      <c r="D9" s="207" t="s">
        <v>56</v>
      </c>
      <c r="E9" s="207"/>
      <c r="F9" s="207"/>
    </row>
    <row r="10" spans="2:10">
      <c r="B10" s="6" t="s">
        <v>1</v>
      </c>
      <c r="C10" s="60"/>
      <c r="D10" s="63">
        <v>1968</v>
      </c>
      <c r="E10" s="63"/>
      <c r="F10" s="63"/>
    </row>
    <row r="11" spans="2:10" hidden="1" outlineLevel="1">
      <c r="B11" s="6" t="s">
        <v>2</v>
      </c>
      <c r="C11" s="60"/>
      <c r="D11" s="63">
        <v>4</v>
      </c>
      <c r="E11" s="63"/>
      <c r="F11" s="63"/>
    </row>
    <row r="12" spans="2:10" hidden="1" outlineLevel="1">
      <c r="B12" s="6" t="s">
        <v>3</v>
      </c>
      <c r="C12" s="60"/>
      <c r="D12" s="63">
        <v>32</v>
      </c>
      <c r="E12" s="63"/>
      <c r="F12" s="63"/>
    </row>
    <row r="13" spans="2:10" ht="30.75" hidden="1" customHeight="1" outlineLevel="1">
      <c r="B13" s="64" t="s">
        <v>4</v>
      </c>
      <c r="C13" s="84"/>
      <c r="D13" s="63" t="s">
        <v>57</v>
      </c>
      <c r="E13" s="63"/>
      <c r="F13" s="63"/>
    </row>
    <row r="14" spans="2:10" collapsed="1">
      <c r="B14" s="6" t="s">
        <v>5</v>
      </c>
      <c r="C14" s="60"/>
      <c r="D14" s="63" t="s">
        <v>159</v>
      </c>
      <c r="E14" s="63"/>
      <c r="F14" s="63"/>
      <c r="J14" s="276"/>
    </row>
    <row r="15" spans="2:10" hidden="1" outlineLevel="1">
      <c r="B15" s="2" t="s">
        <v>6</v>
      </c>
      <c r="D15" s="13" t="s">
        <v>7</v>
      </c>
      <c r="E15" s="13"/>
      <c r="F15" s="13"/>
    </row>
    <row r="16" spans="2:10" ht="30.75" hidden="1" customHeight="1" outlineLevel="1">
      <c r="B16" s="14" t="s">
        <v>8</v>
      </c>
      <c r="C16" s="83"/>
      <c r="D16" s="208" t="s">
        <v>58</v>
      </c>
      <c r="E16" s="208"/>
      <c r="F16" s="13"/>
      <c r="J16" s="276"/>
    </row>
    <row r="17" spans="2:17" ht="16.5" customHeight="1" collapsed="1" thickBot="1">
      <c r="B17" s="215" t="s">
        <v>144</v>
      </c>
      <c r="C17" s="215"/>
      <c r="D17" s="215"/>
      <c r="E17" s="215"/>
      <c r="F17" s="215"/>
      <c r="G17" s="215"/>
      <c r="H17" s="215"/>
      <c r="I17" s="215"/>
      <c r="M17" s="276"/>
      <c r="N17" s="277" t="s">
        <v>99</v>
      </c>
      <c r="O17" s="277" t="s">
        <v>100</v>
      </c>
      <c r="P17" s="277" t="s">
        <v>101</v>
      </c>
      <c r="Q17" s="277" t="s">
        <v>102</v>
      </c>
    </row>
    <row r="18" spans="2:17" ht="33.75" customHeight="1">
      <c r="B18" s="224" t="s">
        <v>97</v>
      </c>
      <c r="C18" s="218" t="s">
        <v>103</v>
      </c>
      <c r="D18" s="218" t="s">
        <v>121</v>
      </c>
      <c r="E18" s="175" t="s">
        <v>147</v>
      </c>
      <c r="F18" s="210" t="s">
        <v>146</v>
      </c>
      <c r="G18" s="213" t="s">
        <v>104</v>
      </c>
      <c r="H18" s="214"/>
      <c r="I18" s="201" t="s">
        <v>151</v>
      </c>
      <c r="M18" s="276"/>
      <c r="N18" s="277"/>
      <c r="O18" s="277"/>
      <c r="P18" s="277"/>
      <c r="Q18" s="277"/>
    </row>
    <row r="19" spans="2:17" ht="44.25" customHeight="1" thickBot="1">
      <c r="B19" s="225"/>
      <c r="C19" s="219"/>
      <c r="D19" s="219"/>
      <c r="E19" s="176"/>
      <c r="F19" s="211"/>
      <c r="G19" s="16" t="s">
        <v>84</v>
      </c>
      <c r="H19" s="17" t="s">
        <v>85</v>
      </c>
      <c r="I19" s="202"/>
      <c r="N19" s="278">
        <v>88280.06</v>
      </c>
      <c r="O19" s="278">
        <f>176560.11-N19</f>
        <v>88280.049999999988</v>
      </c>
      <c r="P19" s="278">
        <v>82381.31</v>
      </c>
      <c r="Q19" s="278">
        <v>93893.62</v>
      </c>
    </row>
    <row r="20" spans="2:17" ht="51" customHeight="1">
      <c r="B20" s="18" t="s">
        <v>89</v>
      </c>
      <c r="C20" s="19" t="s">
        <v>105</v>
      </c>
      <c r="D20" s="20" t="s">
        <v>106</v>
      </c>
      <c r="E20" s="21">
        <v>1.05</v>
      </c>
      <c r="F20" s="21">
        <v>1.06</v>
      </c>
      <c r="G20" s="22">
        <f>($N$19/$N$20*E20)+($O$19/$O$20*F20)</f>
        <v>18853.331578947364</v>
      </c>
      <c r="H20" s="23">
        <f>($P$19/$P$20*E20)+($Q$19/$Q$20*F20)</f>
        <v>18828.705738866392</v>
      </c>
      <c r="I20" s="24">
        <f>G20-H20</f>
        <v>24.625840080971102</v>
      </c>
      <c r="J20" s="279"/>
      <c r="K20" s="280"/>
      <c r="L20" s="280"/>
      <c r="M20" s="281"/>
      <c r="N20" s="282">
        <f>E31-E29-E27</f>
        <v>9.8800000000000026</v>
      </c>
      <c r="O20" s="282">
        <f>F31-F29-F27</f>
        <v>9.8800000000000026</v>
      </c>
      <c r="P20" s="282">
        <f>E31-E29-E27</f>
        <v>9.8800000000000026</v>
      </c>
      <c r="Q20" s="282">
        <f>F31-F29-F27</f>
        <v>9.8800000000000026</v>
      </c>
    </row>
    <row r="21" spans="2:17" ht="51">
      <c r="B21" s="26" t="s">
        <v>93</v>
      </c>
      <c r="C21" s="19" t="s">
        <v>105</v>
      </c>
      <c r="D21" s="20" t="s">
        <v>106</v>
      </c>
      <c r="E21" s="27">
        <v>1.17</v>
      </c>
      <c r="F21" s="27">
        <v>1.19</v>
      </c>
      <c r="G21" s="22">
        <f t="shared" ref="G21:G30" si="0">($N$19/$N$20*E21)+($O$19/$O$20*F21)</f>
        <v>21087.13863360323</v>
      </c>
      <c r="H21" s="23">
        <f t="shared" ref="H21:H26" si="1">($P$19/$P$20*E21)+($Q$19/$Q$20*F21)</f>
        <v>21064.730819838049</v>
      </c>
      <c r="I21" s="24">
        <f t="shared" ref="I21:I28" si="2">G21-H21</f>
        <v>22.407813765181345</v>
      </c>
      <c r="J21" s="283"/>
      <c r="K21" s="284"/>
      <c r="L21" s="284"/>
      <c r="M21" s="284"/>
      <c r="N21" s="285"/>
      <c r="O21" s="284"/>
      <c r="P21" s="284"/>
      <c r="Q21" s="284"/>
    </row>
    <row r="22" spans="2:17" ht="54.75" customHeight="1">
      <c r="B22" s="30" t="s">
        <v>86</v>
      </c>
      <c r="C22" s="19" t="s">
        <v>105</v>
      </c>
      <c r="D22" s="20" t="s">
        <v>106</v>
      </c>
      <c r="E22" s="27">
        <v>0.27</v>
      </c>
      <c r="F22" s="27">
        <v>0.32</v>
      </c>
      <c r="G22" s="22">
        <f t="shared" si="0"/>
        <v>5271.7846356275295</v>
      </c>
      <c r="H22" s="23">
        <f t="shared" si="1"/>
        <v>5292.400010121456</v>
      </c>
      <c r="I22" s="24">
        <f t="shared" si="2"/>
        <v>-20.615374493926538</v>
      </c>
      <c r="J22" s="286"/>
      <c r="M22" s="276"/>
    </row>
    <row r="23" spans="2:17">
      <c r="B23" s="30" t="s">
        <v>184</v>
      </c>
      <c r="C23" s="19" t="s">
        <v>183</v>
      </c>
      <c r="D23" s="20" t="s">
        <v>106</v>
      </c>
      <c r="E23" s="27"/>
      <c r="F23" s="27"/>
      <c r="G23" s="22"/>
      <c r="H23" s="23">
        <v>2124</v>
      </c>
      <c r="I23" s="24">
        <f t="shared" si="2"/>
        <v>-2124</v>
      </c>
      <c r="J23" s="286"/>
      <c r="M23" s="276"/>
    </row>
    <row r="24" spans="2:17" ht="25.5">
      <c r="B24" s="30" t="s">
        <v>87</v>
      </c>
      <c r="C24" s="32" t="s">
        <v>107</v>
      </c>
      <c r="D24" s="20" t="s">
        <v>106</v>
      </c>
      <c r="E24" s="27">
        <v>0.25</v>
      </c>
      <c r="F24" s="27">
        <v>0.22</v>
      </c>
      <c r="G24" s="22">
        <f t="shared" si="0"/>
        <v>4199.557287449391</v>
      </c>
      <c r="H24" s="23">
        <f t="shared" si="1"/>
        <v>4175.2959412955461</v>
      </c>
      <c r="I24" s="24">
        <f t="shared" si="2"/>
        <v>24.261346153844897</v>
      </c>
      <c r="J24" s="286"/>
      <c r="M24" s="276"/>
    </row>
    <row r="25" spans="2:17" ht="51">
      <c r="B25" s="26" t="s">
        <v>90</v>
      </c>
      <c r="C25" s="19" t="s">
        <v>170</v>
      </c>
      <c r="D25" s="20" t="s">
        <v>106</v>
      </c>
      <c r="E25" s="27">
        <v>1.33</v>
      </c>
      <c r="F25" s="27">
        <v>1.18</v>
      </c>
      <c r="G25" s="22">
        <f t="shared" si="0"/>
        <v>22427.422955465579</v>
      </c>
      <c r="H25" s="23">
        <f t="shared" si="1"/>
        <v>22303.807074898781</v>
      </c>
      <c r="I25" s="24">
        <f t="shared" si="2"/>
        <v>123.6158805667983</v>
      </c>
      <c r="J25" s="286"/>
    </row>
    <row r="26" spans="2:17" ht="219" customHeight="1">
      <c r="B26" s="26" t="s">
        <v>145</v>
      </c>
      <c r="C26" s="19" t="s">
        <v>109</v>
      </c>
      <c r="D26" s="20" t="s">
        <v>106</v>
      </c>
      <c r="E26" s="27">
        <v>5.48</v>
      </c>
      <c r="F26" s="27">
        <v>5.53</v>
      </c>
      <c r="G26" s="22">
        <f t="shared" si="0"/>
        <v>98376.862884615344</v>
      </c>
      <c r="H26" s="23">
        <f t="shared" si="1"/>
        <v>98247.094878542499</v>
      </c>
      <c r="I26" s="24">
        <f t="shared" si="2"/>
        <v>129.76800607284531</v>
      </c>
      <c r="J26" s="283"/>
      <c r="K26" s="284"/>
      <c r="L26" s="284"/>
      <c r="M26" s="285"/>
      <c r="N26" s="284"/>
      <c r="O26" s="284"/>
      <c r="P26" s="284"/>
      <c r="Q26" s="284"/>
    </row>
    <row r="27" spans="2:17" ht="27.75" customHeight="1">
      <c r="B27" s="30" t="s">
        <v>108</v>
      </c>
      <c r="C27" s="19" t="s">
        <v>107</v>
      </c>
      <c r="D27" s="20" t="s">
        <v>106</v>
      </c>
      <c r="E27" s="27">
        <v>2</v>
      </c>
      <c r="F27" s="27">
        <v>2</v>
      </c>
      <c r="G27" s="22">
        <v>35740.800000000003</v>
      </c>
      <c r="H27" s="28">
        <v>30906.7</v>
      </c>
      <c r="I27" s="24">
        <f>H27-G27</f>
        <v>-4834.1000000000022</v>
      </c>
      <c r="J27" s="286"/>
    </row>
    <row r="28" spans="2:17" ht="108.75" customHeight="1">
      <c r="B28" s="26" t="s">
        <v>111</v>
      </c>
      <c r="C28" s="19" t="s">
        <v>105</v>
      </c>
      <c r="D28" s="20" t="s">
        <v>106</v>
      </c>
      <c r="E28" s="27">
        <v>0.21</v>
      </c>
      <c r="F28" s="27">
        <v>0.24</v>
      </c>
      <c r="G28" s="22">
        <f t="shared" si="0"/>
        <v>4020.8526923076906</v>
      </c>
      <c r="H28" s="23">
        <f t="shared" ref="H28" si="3">($P$19/$P$20*E28)+($Q$19/$Q$20*F28)</f>
        <v>4031.836427125505</v>
      </c>
      <c r="I28" s="24">
        <f t="shared" si="2"/>
        <v>-10.983734817814366</v>
      </c>
      <c r="J28" s="286"/>
    </row>
    <row r="29" spans="2:17" ht="54" customHeight="1">
      <c r="B29" s="30" t="s">
        <v>94</v>
      </c>
      <c r="C29" s="19" t="s">
        <v>105</v>
      </c>
      <c r="D29" s="20" t="s">
        <v>106</v>
      </c>
      <c r="E29" s="27">
        <v>4.97</v>
      </c>
      <c r="F29" s="27">
        <v>4.97</v>
      </c>
      <c r="G29" s="22">
        <v>88816.17</v>
      </c>
      <c r="H29" s="28">
        <v>186623</v>
      </c>
      <c r="I29" s="24">
        <f>G29-H29</f>
        <v>-97806.83</v>
      </c>
      <c r="J29" s="286"/>
      <c r="M29" s="276"/>
    </row>
    <row r="30" spans="2:17" ht="16.5" thickBot="1">
      <c r="B30" s="69" t="s">
        <v>88</v>
      </c>
      <c r="C30" s="34" t="s">
        <v>109</v>
      </c>
      <c r="D30" s="35" t="s">
        <v>106</v>
      </c>
      <c r="E30" s="36">
        <v>0.12</v>
      </c>
      <c r="F30" s="36">
        <v>0.14000000000000001</v>
      </c>
      <c r="G30" s="37">
        <f t="shared" si="0"/>
        <v>2323.1593319838048</v>
      </c>
      <c r="H30" s="73">
        <f t="shared" ref="H30" si="4">($P$19/$P$20*E30)+($Q$19/$Q$20*F30)</f>
        <v>2331.0591093117405</v>
      </c>
      <c r="I30" s="24">
        <f>G30-H30</f>
        <v>-7.8997773279356807</v>
      </c>
      <c r="J30" s="286"/>
    </row>
    <row r="31" spans="2:17" ht="16.5" thickBot="1">
      <c r="B31" s="39" t="s">
        <v>92</v>
      </c>
      <c r="C31" s="40"/>
      <c r="D31" s="40"/>
      <c r="E31" s="41">
        <f>SUM(E20:E30)</f>
        <v>16.850000000000001</v>
      </c>
      <c r="F31" s="42">
        <f>SUM(F20:F30)</f>
        <v>16.850000000000001</v>
      </c>
      <c r="G31" s="43">
        <f>SUM(G20:G30)</f>
        <v>301117.07999999996</v>
      </c>
      <c r="H31" s="44">
        <f>SUM(H20:H30)</f>
        <v>395928.62999999995</v>
      </c>
      <c r="I31" s="45">
        <f>SUM(I20:I30)</f>
        <v>-104479.75000000004</v>
      </c>
      <c r="J31" s="286"/>
    </row>
    <row r="32" spans="2:17">
      <c r="B32" s="5"/>
      <c r="C32" s="5"/>
      <c r="D32" s="5"/>
      <c r="E32" s="12"/>
      <c r="F32" s="12"/>
      <c r="G32" s="12"/>
      <c r="H32" s="12"/>
      <c r="I32" s="4"/>
    </row>
    <row r="33" spans="2:17" ht="16.5" customHeight="1" thickBot="1">
      <c r="B33" s="177" t="s">
        <v>143</v>
      </c>
      <c r="C33" s="177"/>
      <c r="D33" s="177"/>
      <c r="E33" s="177"/>
      <c r="F33" s="177"/>
      <c r="G33" s="177"/>
      <c r="H33" s="177"/>
      <c r="I33" s="177"/>
      <c r="J33" s="287"/>
      <c r="K33" s="287"/>
    </row>
    <row r="34" spans="2:17" ht="53.25" customHeight="1">
      <c r="B34" s="46"/>
      <c r="C34" s="47"/>
      <c r="D34" s="182" t="s">
        <v>110</v>
      </c>
      <c r="E34" s="183"/>
      <c r="F34" s="171" t="s">
        <v>9</v>
      </c>
      <c r="G34" s="172"/>
      <c r="H34" s="171" t="s">
        <v>182</v>
      </c>
      <c r="I34" s="223"/>
      <c r="J34" s="288"/>
      <c r="K34" s="289"/>
      <c r="L34" s="290"/>
      <c r="M34" s="291"/>
      <c r="N34" s="292"/>
      <c r="O34" s="292"/>
      <c r="P34" s="292"/>
      <c r="Q34" s="292"/>
    </row>
    <row r="35" spans="2:17">
      <c r="B35" s="48" t="s">
        <v>11</v>
      </c>
      <c r="C35" s="49"/>
      <c r="D35" s="169">
        <f>F35+H35</f>
        <v>301117.07999999996</v>
      </c>
      <c r="E35" s="184"/>
      <c r="F35" s="169">
        <f>176560.11+35740.8</f>
        <v>212300.90999999997</v>
      </c>
      <c r="G35" s="184"/>
      <c r="H35" s="169">
        <f>G29</f>
        <v>88816.17</v>
      </c>
      <c r="I35" s="180"/>
      <c r="J35" s="293"/>
      <c r="K35" s="298"/>
      <c r="L35" s="295">
        <v>31272</v>
      </c>
      <c r="M35" s="295">
        <v>332389.08</v>
      </c>
      <c r="N35" s="296">
        <f>M35-L35</f>
        <v>301117.08</v>
      </c>
      <c r="O35" s="297">
        <f>N35-D35</f>
        <v>0</v>
      </c>
    </row>
    <row r="36" spans="2:17">
      <c r="B36" s="48" t="s">
        <v>12</v>
      </c>
      <c r="C36" s="49"/>
      <c r="D36" s="169">
        <f>F36+H36</f>
        <v>260418.97</v>
      </c>
      <c r="E36" s="184"/>
      <c r="F36" s="169">
        <f>152699.08+30906.7</f>
        <v>183605.78</v>
      </c>
      <c r="G36" s="184"/>
      <c r="H36" s="169">
        <v>76813.19</v>
      </c>
      <c r="I36" s="180"/>
      <c r="J36" s="293"/>
      <c r="K36" s="298"/>
      <c r="L36" s="299">
        <v>192.59</v>
      </c>
      <c r="M36" s="295">
        <v>260611.56</v>
      </c>
      <c r="N36" s="296">
        <f>M36-L36</f>
        <v>260418.97</v>
      </c>
      <c r="O36" s="297">
        <f>N36-D36</f>
        <v>0</v>
      </c>
    </row>
    <row r="37" spans="2:17" ht="16.5" thickBot="1">
      <c r="B37" s="51" t="s">
        <v>91</v>
      </c>
      <c r="C37" s="52"/>
      <c r="D37" s="187">
        <f>F37+H37</f>
        <v>395928.63</v>
      </c>
      <c r="E37" s="189"/>
      <c r="F37" s="187">
        <f>H20+H21+H22+H24+H25+H26+H27+H28+H30</f>
        <v>207181.62999999998</v>
      </c>
      <c r="G37" s="189"/>
      <c r="H37" s="187">
        <f>H29+H23</f>
        <v>188747</v>
      </c>
      <c r="I37" s="220"/>
      <c r="J37" s="293"/>
      <c r="K37" s="298"/>
      <c r="L37" s="286"/>
      <c r="M37" s="286"/>
    </row>
    <row r="38" spans="2:17" ht="27.75" customHeight="1" thickBot="1">
      <c r="B38" s="53" t="s">
        <v>156</v>
      </c>
      <c r="C38" s="54"/>
      <c r="D38" s="198">
        <f>F38+H38</f>
        <v>-135509.65999999997</v>
      </c>
      <c r="E38" s="199"/>
      <c r="F38" s="191">
        <f>F36-F37</f>
        <v>-23575.849999999977</v>
      </c>
      <c r="G38" s="221"/>
      <c r="H38" s="191">
        <f>H36-H37</f>
        <v>-111933.81</v>
      </c>
      <c r="I38" s="222"/>
      <c r="J38" s="293"/>
      <c r="K38" s="298"/>
      <c r="L38" s="286"/>
      <c r="M38" s="286"/>
    </row>
    <row r="39" spans="2:17" ht="29.25" customHeight="1">
      <c r="B39" s="70" t="s">
        <v>79</v>
      </c>
      <c r="C39" s="70"/>
      <c r="D39" s="70"/>
      <c r="E39" s="197" t="s">
        <v>80</v>
      </c>
      <c r="F39" s="197"/>
      <c r="G39" s="195" t="s">
        <v>13</v>
      </c>
      <c r="H39" s="195"/>
      <c r="I39" s="55"/>
      <c r="J39" s="300"/>
      <c r="K39" s="284"/>
      <c r="L39" s="284"/>
      <c r="M39" s="284"/>
      <c r="N39" s="284"/>
      <c r="O39" s="284"/>
      <c r="P39" s="284"/>
      <c r="Q39" s="284"/>
    </row>
    <row r="40" spans="2:17" ht="10.5" customHeight="1">
      <c r="B40" s="70"/>
      <c r="C40" s="70"/>
      <c r="D40" s="70"/>
      <c r="E40" s="185" t="s">
        <v>14</v>
      </c>
      <c r="F40" s="185"/>
      <c r="G40" s="196"/>
      <c r="H40" s="196"/>
      <c r="I40" s="55"/>
      <c r="J40" s="300"/>
      <c r="K40" s="284"/>
      <c r="L40" s="284"/>
      <c r="M40" s="284"/>
      <c r="N40" s="284"/>
      <c r="O40" s="284"/>
      <c r="P40" s="284"/>
      <c r="Q40" s="284"/>
    </row>
    <row r="41" spans="2:17">
      <c r="B41" s="70" t="s">
        <v>81</v>
      </c>
      <c r="C41" s="70"/>
      <c r="D41" s="70"/>
      <c r="E41" s="186" t="s">
        <v>80</v>
      </c>
      <c r="F41" s="186"/>
      <c r="G41" s="195" t="s">
        <v>96</v>
      </c>
      <c r="H41" s="195"/>
      <c r="I41" s="55"/>
      <c r="J41" s="300"/>
      <c r="K41" s="284"/>
      <c r="L41" s="284"/>
      <c r="M41" s="284"/>
      <c r="N41" s="284"/>
      <c r="O41" s="284"/>
      <c r="P41" s="284"/>
      <c r="Q41" s="284"/>
    </row>
    <row r="42" spans="2:17" ht="10.5" customHeight="1">
      <c r="B42" s="70"/>
      <c r="C42" s="70"/>
      <c r="D42" s="70"/>
      <c r="E42" s="185" t="s">
        <v>14</v>
      </c>
      <c r="F42" s="185"/>
      <c r="G42" s="195"/>
      <c r="H42" s="195"/>
      <c r="I42" s="55"/>
      <c r="J42" s="300"/>
    </row>
    <row r="43" spans="2:17">
      <c r="B43" s="70" t="s">
        <v>82</v>
      </c>
      <c r="C43" s="70"/>
      <c r="D43" s="70"/>
      <c r="E43" s="186" t="s">
        <v>80</v>
      </c>
      <c r="F43" s="186"/>
      <c r="G43" s="195" t="s">
        <v>98</v>
      </c>
      <c r="H43" s="195"/>
      <c r="I43" s="55"/>
      <c r="J43" s="300"/>
    </row>
    <row r="44" spans="2:17" ht="9.75" customHeight="1">
      <c r="B44" s="58"/>
      <c r="C44" s="58"/>
      <c r="D44" s="58"/>
      <c r="E44" s="185" t="s">
        <v>14</v>
      </c>
      <c r="F44" s="185"/>
      <c r="G44" s="59"/>
      <c r="H44" s="57"/>
      <c r="I44" s="60"/>
      <c r="J44" s="296"/>
    </row>
    <row r="45" spans="2:17">
      <c r="B45" s="70" t="s">
        <v>83</v>
      </c>
      <c r="C45" s="70"/>
      <c r="D45" s="70"/>
      <c r="E45" s="186" t="s">
        <v>80</v>
      </c>
      <c r="F45" s="186"/>
      <c r="G45" s="195" t="s">
        <v>142</v>
      </c>
      <c r="H45" s="195"/>
      <c r="I45" s="55"/>
      <c r="J45" s="300"/>
    </row>
    <row r="46" spans="2:17" ht="9.75" customHeight="1">
      <c r="E46" s="185" t="s">
        <v>14</v>
      </c>
      <c r="F46" s="185"/>
    </row>
    <row r="47" spans="2:17">
      <c r="E47" s="61"/>
      <c r="F47" s="61"/>
    </row>
  </sheetData>
  <mergeCells count="45">
    <mergeCell ref="B1:I1"/>
    <mergeCell ref="B6:I7"/>
    <mergeCell ref="D9:F9"/>
    <mergeCell ref="D16:E16"/>
    <mergeCell ref="F35:G35"/>
    <mergeCell ref="B17:I17"/>
    <mergeCell ref="B18:B19"/>
    <mergeCell ref="C18:C19"/>
    <mergeCell ref="D18:D19"/>
    <mergeCell ref="E18:E19"/>
    <mergeCell ref="F18:F19"/>
    <mergeCell ref="G18:H18"/>
    <mergeCell ref="B2:I2"/>
    <mergeCell ref="B3:I3"/>
    <mergeCell ref="B4:I4"/>
    <mergeCell ref="I18:I19"/>
    <mergeCell ref="F37:G37"/>
    <mergeCell ref="H36:I36"/>
    <mergeCell ref="H37:I37"/>
    <mergeCell ref="F36:G36"/>
    <mergeCell ref="B33:I33"/>
    <mergeCell ref="H34:I34"/>
    <mergeCell ref="E42:F42"/>
    <mergeCell ref="G42:H42"/>
    <mergeCell ref="E43:F43"/>
    <mergeCell ref="G43:H43"/>
    <mergeCell ref="G39:H39"/>
    <mergeCell ref="E40:F40"/>
    <mergeCell ref="G40:H40"/>
    <mergeCell ref="E46:F46"/>
    <mergeCell ref="D34:E34"/>
    <mergeCell ref="D35:E35"/>
    <mergeCell ref="D36:E36"/>
    <mergeCell ref="D37:E37"/>
    <mergeCell ref="D38:E38"/>
    <mergeCell ref="E41:F41"/>
    <mergeCell ref="E39:F39"/>
    <mergeCell ref="F34:G34"/>
    <mergeCell ref="F38:G38"/>
    <mergeCell ref="G41:H41"/>
    <mergeCell ref="H38:I38"/>
    <mergeCell ref="H35:I35"/>
    <mergeCell ref="E44:F44"/>
    <mergeCell ref="E45:F45"/>
    <mergeCell ref="G45:H45"/>
  </mergeCells>
  <printOptions horizontalCentered="1"/>
  <pageMargins left="0.19685039370078741" right="0.19685039370078741" top="0.15748031496062992" bottom="0.24" header="0.16" footer="0.24"/>
  <pageSetup paperSize="9" scale="4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Q46"/>
  <sheetViews>
    <sheetView zoomScale="110" zoomScaleNormal="110" workbookViewId="0">
      <selection activeCell="I22" sqref="I22"/>
    </sheetView>
  </sheetViews>
  <sheetFormatPr defaultColWidth="9.140625" defaultRowHeight="15.75" outlineLevelRow="1"/>
  <cols>
    <col min="1" max="1" width="2.85546875" style="2" customWidth="1"/>
    <col min="2" max="2" width="55.42578125" style="2" customWidth="1"/>
    <col min="3" max="3" width="12.28515625" style="12" customWidth="1"/>
    <col min="4" max="4" width="8.85546875" style="4" customWidth="1"/>
    <col min="5" max="5" width="9.85546875" style="4" customWidth="1"/>
    <col min="6" max="6" width="9.5703125" style="4" customWidth="1"/>
    <col min="7" max="7" width="10.140625" style="2" customWidth="1"/>
    <col min="8" max="8" width="10.42578125" style="2" customWidth="1"/>
    <col min="9" max="9" width="11" style="2" customWidth="1"/>
    <col min="10" max="10" width="11.85546875" style="274" customWidth="1"/>
    <col min="11" max="13" width="9.140625" style="274"/>
    <col min="14" max="14" width="14" style="274" customWidth="1"/>
    <col min="15" max="15" width="12.140625" style="274" customWidth="1"/>
    <col min="16" max="16" width="11.42578125" style="274" customWidth="1"/>
    <col min="17" max="17" width="12.85546875" style="274" customWidth="1"/>
    <col min="18" max="16384" width="9.140625" style="2"/>
  </cols>
  <sheetData>
    <row r="1" spans="1:10">
      <c r="B1" s="168" t="s">
        <v>138</v>
      </c>
      <c r="C1" s="168"/>
      <c r="D1" s="168"/>
      <c r="E1" s="168"/>
      <c r="F1" s="168"/>
      <c r="G1" s="168"/>
      <c r="H1" s="168"/>
      <c r="I1" s="168"/>
    </row>
    <row r="2" spans="1:10">
      <c r="B2" s="168" t="s">
        <v>139</v>
      </c>
      <c r="C2" s="168"/>
      <c r="D2" s="168"/>
      <c r="E2" s="168"/>
      <c r="F2" s="168"/>
      <c r="G2" s="168"/>
      <c r="H2" s="168"/>
      <c r="I2" s="168"/>
    </row>
    <row r="3" spans="1:10">
      <c r="B3" s="168" t="s">
        <v>140</v>
      </c>
      <c r="C3" s="168"/>
      <c r="D3" s="168"/>
      <c r="E3" s="168"/>
      <c r="F3" s="168"/>
      <c r="G3" s="168"/>
      <c r="H3" s="168"/>
      <c r="I3" s="168"/>
    </row>
    <row r="4" spans="1:10" ht="15" customHeight="1">
      <c r="B4" s="168" t="s">
        <v>148</v>
      </c>
      <c r="C4" s="168"/>
      <c r="D4" s="168"/>
      <c r="E4" s="168"/>
      <c r="F4" s="168"/>
      <c r="G4" s="168"/>
      <c r="H4" s="168"/>
      <c r="I4" s="168"/>
    </row>
    <row r="5" spans="1:10" ht="8.25" customHeight="1">
      <c r="B5" s="66"/>
      <c r="C5" s="66"/>
      <c r="D5" s="66"/>
      <c r="E5" s="66"/>
      <c r="F5" s="66"/>
      <c r="G5" s="66"/>
      <c r="H5" s="66"/>
      <c r="I5" s="66"/>
    </row>
    <row r="6" spans="1:10" ht="19.5" customHeight="1">
      <c r="A6" s="158"/>
      <c r="B6" s="200" t="s">
        <v>141</v>
      </c>
      <c r="C6" s="200"/>
      <c r="D6" s="200"/>
      <c r="E6" s="200"/>
      <c r="F6" s="200"/>
      <c r="G6" s="200"/>
      <c r="H6" s="200"/>
      <c r="I6" s="200"/>
    </row>
    <row r="7" spans="1:10" ht="20.25" customHeight="1">
      <c r="A7" s="158"/>
      <c r="B7" s="200"/>
      <c r="C7" s="200"/>
      <c r="D7" s="200"/>
      <c r="E7" s="200"/>
      <c r="F7" s="200"/>
      <c r="G7" s="200"/>
      <c r="H7" s="200"/>
      <c r="I7" s="200"/>
    </row>
    <row r="8" spans="1:10" ht="8.25" customHeight="1"/>
    <row r="9" spans="1:10">
      <c r="B9" s="6" t="s">
        <v>0</v>
      </c>
      <c r="C9" s="62"/>
      <c r="D9" s="207" t="s">
        <v>59</v>
      </c>
      <c r="E9" s="207"/>
      <c r="F9" s="207"/>
    </row>
    <row r="10" spans="1:10">
      <c r="B10" s="6" t="s">
        <v>1</v>
      </c>
      <c r="C10" s="62"/>
      <c r="D10" s="63">
        <v>1968</v>
      </c>
      <c r="E10" s="63"/>
      <c r="F10" s="63"/>
    </row>
    <row r="11" spans="1:10" hidden="1" outlineLevel="1">
      <c r="B11" s="6" t="s">
        <v>2</v>
      </c>
      <c r="C11" s="62"/>
      <c r="D11" s="63">
        <v>4</v>
      </c>
      <c r="E11" s="63"/>
      <c r="F11" s="63"/>
    </row>
    <row r="12" spans="1:10" hidden="1" outlineLevel="1">
      <c r="B12" s="6" t="s">
        <v>3</v>
      </c>
      <c r="C12" s="62"/>
      <c r="D12" s="63">
        <v>32</v>
      </c>
      <c r="E12" s="63"/>
      <c r="F12" s="63"/>
    </row>
    <row r="13" spans="1:10" ht="30.75" hidden="1" customHeight="1" outlineLevel="1">
      <c r="B13" s="64" t="s">
        <v>4</v>
      </c>
      <c r="C13" s="65"/>
      <c r="D13" s="63" t="s">
        <v>60</v>
      </c>
      <c r="E13" s="63"/>
      <c r="F13" s="63"/>
    </row>
    <row r="14" spans="1:10" collapsed="1">
      <c r="B14" s="6" t="s">
        <v>5</v>
      </c>
      <c r="C14" s="62"/>
      <c r="D14" s="63" t="s">
        <v>125</v>
      </c>
      <c r="E14" s="63"/>
      <c r="F14" s="63"/>
      <c r="J14" s="276"/>
    </row>
    <row r="15" spans="1:10">
      <c r="B15" s="6" t="s">
        <v>6</v>
      </c>
      <c r="C15" s="62"/>
      <c r="D15" s="63" t="s">
        <v>61</v>
      </c>
      <c r="E15" s="63"/>
      <c r="F15" s="63"/>
    </row>
    <row r="16" spans="1:10" ht="30.75" hidden="1" customHeight="1" outlineLevel="1">
      <c r="B16" s="14" t="s">
        <v>8</v>
      </c>
      <c r="C16" s="15"/>
      <c r="D16" s="208" t="s">
        <v>62</v>
      </c>
      <c r="E16" s="208"/>
      <c r="F16" s="13"/>
      <c r="J16" s="276"/>
    </row>
    <row r="17" spans="2:17" ht="24.75" customHeight="1" collapsed="1" thickBot="1">
      <c r="B17" s="215" t="s">
        <v>144</v>
      </c>
      <c r="C17" s="215"/>
      <c r="D17" s="215"/>
      <c r="E17" s="215"/>
      <c r="F17" s="215"/>
      <c r="G17" s="215"/>
      <c r="H17" s="215"/>
      <c r="I17" s="215"/>
      <c r="M17" s="276"/>
      <c r="N17" s="277" t="s">
        <v>99</v>
      </c>
      <c r="O17" s="277" t="s">
        <v>100</v>
      </c>
      <c r="P17" s="277" t="s">
        <v>101</v>
      </c>
      <c r="Q17" s="277" t="s">
        <v>102</v>
      </c>
    </row>
    <row r="18" spans="2:17" ht="33.75" customHeight="1">
      <c r="B18" s="224" t="s">
        <v>97</v>
      </c>
      <c r="C18" s="218" t="s">
        <v>103</v>
      </c>
      <c r="D18" s="218" t="s">
        <v>121</v>
      </c>
      <c r="E18" s="175" t="s">
        <v>147</v>
      </c>
      <c r="F18" s="210" t="s">
        <v>146</v>
      </c>
      <c r="G18" s="213" t="s">
        <v>104</v>
      </c>
      <c r="H18" s="214"/>
      <c r="I18" s="201" t="s">
        <v>151</v>
      </c>
      <c r="M18" s="276"/>
      <c r="N18" s="277"/>
      <c r="O18" s="277"/>
      <c r="P18" s="277"/>
      <c r="Q18" s="277"/>
    </row>
    <row r="19" spans="2:17" ht="37.5" customHeight="1" thickBot="1">
      <c r="B19" s="225"/>
      <c r="C19" s="219"/>
      <c r="D19" s="219"/>
      <c r="E19" s="176"/>
      <c r="F19" s="211"/>
      <c r="G19" s="16" t="s">
        <v>84</v>
      </c>
      <c r="H19" s="17" t="s">
        <v>85</v>
      </c>
      <c r="I19" s="202"/>
      <c r="N19" s="278">
        <f>79110.02+O21*6</f>
        <v>82499.513196261687</v>
      </c>
      <c r="O19" s="278">
        <f>80662.63+O21*4</f>
        <v>82922.292130841131</v>
      </c>
      <c r="P19" s="278">
        <f>78036.15</f>
        <v>78036.149999999994</v>
      </c>
      <c r="Q19" s="278">
        <f>88941.25</f>
        <v>88941.25</v>
      </c>
    </row>
    <row r="20" spans="2:17" ht="55.5" customHeight="1">
      <c r="B20" s="18" t="s">
        <v>89</v>
      </c>
      <c r="C20" s="19" t="s">
        <v>105</v>
      </c>
      <c r="D20" s="20" t="s">
        <v>106</v>
      </c>
      <c r="E20" s="21">
        <v>1.05</v>
      </c>
      <c r="F20" s="21">
        <v>1.06</v>
      </c>
      <c r="G20" s="22">
        <f>($N$19/$N$20*E20)+($O$19/$O$20*F20)</f>
        <v>18625.626308939849</v>
      </c>
      <c r="H20" s="23">
        <f>($P$19/$P$20*E20)+($Q$19/$Q$20*F20)</f>
        <v>20816.013503151262</v>
      </c>
      <c r="I20" s="24">
        <f>G20-H20</f>
        <v>-2190.3871942114129</v>
      </c>
      <c r="J20" s="279"/>
      <c r="K20" s="280"/>
      <c r="L20" s="280"/>
      <c r="M20" s="281"/>
      <c r="N20" s="282">
        <f>E31-E28-E26</f>
        <v>9.3699999999999992</v>
      </c>
      <c r="O20" s="282">
        <f>F31-F28-F26</f>
        <v>9.3699999999999992</v>
      </c>
      <c r="P20" s="282">
        <f>E31-E29-E28-E26</f>
        <v>8.16</v>
      </c>
      <c r="Q20" s="282">
        <f>F31-F29-F28-F26</f>
        <v>8.75</v>
      </c>
    </row>
    <row r="21" spans="2:17" ht="51">
      <c r="B21" s="26" t="s">
        <v>93</v>
      </c>
      <c r="C21" s="19" t="s">
        <v>105</v>
      </c>
      <c r="D21" s="20" t="s">
        <v>106</v>
      </c>
      <c r="E21" s="27">
        <v>1.17</v>
      </c>
      <c r="F21" s="27">
        <v>1.19</v>
      </c>
      <c r="G21" s="22">
        <f t="shared" ref="G21:G30" si="0">($N$19/$N$20*E21)+($O$19/$O$20*F21)</f>
        <v>20832.652942937792</v>
      </c>
      <c r="H21" s="23">
        <f t="shared" ref="H21:H25" si="1">($P$19/$P$20*E21)+($Q$19/$Q$20*F21)</f>
        <v>23285.016801470585</v>
      </c>
      <c r="I21" s="24">
        <f t="shared" ref="I21:I27" si="2">G21-H21</f>
        <v>-2452.3638585327935</v>
      </c>
      <c r="J21" s="283"/>
      <c r="K21" s="284"/>
      <c r="L21" s="284"/>
      <c r="M21" s="296" t="s">
        <v>166</v>
      </c>
      <c r="N21" s="297">
        <f>N22-N23</f>
        <v>5649.1553271028033</v>
      </c>
      <c r="O21" s="297">
        <f>N21/10</f>
        <v>564.91553271028033</v>
      </c>
      <c r="P21" s="297">
        <f>P22-P23</f>
        <v>6162.7149022939675</v>
      </c>
      <c r="Q21" s="297">
        <f>P21/10</f>
        <v>616.2714902293967</v>
      </c>
    </row>
    <row r="22" spans="2:17" ht="53.25" customHeight="1">
      <c r="B22" s="30" t="s">
        <v>86</v>
      </c>
      <c r="C22" s="19" t="s">
        <v>105</v>
      </c>
      <c r="D22" s="20" t="s">
        <v>106</v>
      </c>
      <c r="E22" s="27">
        <v>0.27</v>
      </c>
      <c r="F22" s="27">
        <v>0.32</v>
      </c>
      <c r="G22" s="22">
        <f t="shared" si="0"/>
        <v>5209.1784466232466</v>
      </c>
      <c r="H22" s="23">
        <f t="shared" si="1"/>
        <v>5834.78706407563</v>
      </c>
      <c r="I22" s="24">
        <f t="shared" si="2"/>
        <v>-625.60861745238344</v>
      </c>
      <c r="J22" s="286"/>
      <c r="M22" s="296" t="s">
        <v>164</v>
      </c>
      <c r="N22" s="296">
        <v>7172.66</v>
      </c>
      <c r="O22" s="296"/>
      <c r="P22" s="296">
        <v>7824.72</v>
      </c>
      <c r="Q22" s="296"/>
    </row>
    <row r="23" spans="2:17" ht="25.5">
      <c r="B23" s="30" t="s">
        <v>87</v>
      </c>
      <c r="C23" s="32" t="s">
        <v>107</v>
      </c>
      <c r="D23" s="20" t="s">
        <v>106</v>
      </c>
      <c r="E23" s="27">
        <v>0.19</v>
      </c>
      <c r="F23" s="27">
        <v>0.17</v>
      </c>
      <c r="G23" s="22">
        <f t="shared" si="0"/>
        <v>3177.342280633161</v>
      </c>
      <c r="H23" s="23">
        <f t="shared" si="1"/>
        <v>3545.0196271008404</v>
      </c>
      <c r="I23" s="24">
        <f t="shared" si="2"/>
        <v>-367.6773464676794</v>
      </c>
      <c r="J23" s="286"/>
      <c r="M23" s="297" t="s">
        <v>167</v>
      </c>
      <c r="N23" s="297">
        <f>N22/11.77*2.5</f>
        <v>1523.5046728971963</v>
      </c>
      <c r="O23" s="296"/>
      <c r="P23" s="297">
        <f>P22/11.77*2.5</f>
        <v>1662.0050977060325</v>
      </c>
      <c r="Q23" s="296"/>
    </row>
    <row r="24" spans="2:17" ht="51">
      <c r="B24" s="26" t="s">
        <v>90</v>
      </c>
      <c r="C24" s="19" t="s">
        <v>170</v>
      </c>
      <c r="D24" s="20" t="s">
        <v>106</v>
      </c>
      <c r="E24" s="27">
        <v>1.33</v>
      </c>
      <c r="F24" s="27">
        <v>1.18</v>
      </c>
      <c r="G24" s="22">
        <f t="shared" si="0"/>
        <v>22152.898320749264</v>
      </c>
      <c r="H24" s="23">
        <f t="shared" si="1"/>
        <v>24713.490246848738</v>
      </c>
      <c r="I24" s="24">
        <f t="shared" si="2"/>
        <v>-2560.5919260994742</v>
      </c>
      <c r="J24" s="286"/>
    </row>
    <row r="25" spans="2:17" ht="204">
      <c r="B25" s="26" t="s">
        <v>145</v>
      </c>
      <c r="C25" s="19" t="s">
        <v>109</v>
      </c>
      <c r="D25" s="20" t="s">
        <v>106</v>
      </c>
      <c r="E25" s="27">
        <v>3.86</v>
      </c>
      <c r="F25" s="27">
        <v>4.42</v>
      </c>
      <c r="G25" s="22">
        <f t="shared" si="0"/>
        <v>73101.883901375448</v>
      </c>
      <c r="H25" s="23">
        <f t="shared" si="1"/>
        <v>81842.196334033608</v>
      </c>
      <c r="I25" s="24">
        <f t="shared" si="2"/>
        <v>-8740.3124326581601</v>
      </c>
      <c r="J25" s="283"/>
      <c r="K25" s="284"/>
      <c r="L25" s="284"/>
      <c r="M25" s="285"/>
      <c r="N25" s="284"/>
      <c r="O25" s="284"/>
      <c r="P25" s="284"/>
      <c r="Q25" s="284"/>
    </row>
    <row r="26" spans="2:17" ht="30" customHeight="1">
      <c r="B26" s="30" t="s">
        <v>108</v>
      </c>
      <c r="C26" s="19" t="s">
        <v>107</v>
      </c>
      <c r="D26" s="20" t="s">
        <v>106</v>
      </c>
      <c r="E26" s="27">
        <v>2</v>
      </c>
      <c r="F26" s="27">
        <v>2</v>
      </c>
      <c r="G26" s="22">
        <v>33773.4</v>
      </c>
      <c r="H26" s="28">
        <v>31141.119999999999</v>
      </c>
      <c r="I26" s="24">
        <f>H26-G26</f>
        <v>-2632.2800000000025</v>
      </c>
      <c r="J26" s="286"/>
    </row>
    <row r="27" spans="2:17" ht="125.25" customHeight="1">
      <c r="B27" s="26" t="s">
        <v>111</v>
      </c>
      <c r="C27" s="19" t="s">
        <v>105</v>
      </c>
      <c r="D27" s="20" t="s">
        <v>106</v>
      </c>
      <c r="E27" s="27">
        <v>0.21</v>
      </c>
      <c r="F27" s="27">
        <v>0.24</v>
      </c>
      <c r="G27" s="22">
        <f t="shared" si="0"/>
        <v>3972.9186640999815</v>
      </c>
      <c r="H27" s="23">
        <f t="shared" ref="H27" si="3">($P$19/$P$20*E27)+($Q$19/$Q$20*F27)</f>
        <v>4447.8147006302515</v>
      </c>
      <c r="I27" s="24">
        <f t="shared" si="2"/>
        <v>-474.89603653027007</v>
      </c>
      <c r="J27" s="286"/>
    </row>
    <row r="28" spans="2:17" ht="50.25" customHeight="1">
      <c r="B28" s="30" t="s">
        <v>94</v>
      </c>
      <c r="C28" s="19" t="s">
        <v>105</v>
      </c>
      <c r="D28" s="20" t="s">
        <v>106</v>
      </c>
      <c r="E28" s="27">
        <v>2.5</v>
      </c>
      <c r="F28" s="27">
        <v>2.5</v>
      </c>
      <c r="G28" s="22">
        <f>42628.77+N23</f>
        <v>44152.274672897191</v>
      </c>
      <c r="H28" s="28">
        <v>154554</v>
      </c>
      <c r="I28" s="24">
        <f>G28-H28</f>
        <v>-110401.72532710282</v>
      </c>
      <c r="J28" s="286"/>
      <c r="M28" s="276"/>
    </row>
    <row r="29" spans="2:17" ht="25.5" thickBot="1">
      <c r="B29" s="30" t="s">
        <v>95</v>
      </c>
      <c r="C29" s="32" t="s">
        <v>107</v>
      </c>
      <c r="D29" s="20" t="s">
        <v>106</v>
      </c>
      <c r="E29" s="27">
        <v>1.21</v>
      </c>
      <c r="F29" s="27">
        <v>0.62</v>
      </c>
      <c r="G29" s="22">
        <f t="shared" ref="G29" si="4">($N$19/$N$20*E29)+($O$19/$O$20*F29)</f>
        <v>16140.473008388277</v>
      </c>
      <c r="H29" s="23">
        <v>11084.6</v>
      </c>
      <c r="I29" s="24">
        <f>G29-H29</f>
        <v>5055.8730083882765</v>
      </c>
      <c r="J29" s="286"/>
      <c r="K29" s="302"/>
      <c r="L29" s="302"/>
      <c r="M29" s="276"/>
      <c r="N29" s="292"/>
      <c r="O29" s="292"/>
    </row>
    <row r="30" spans="2:17" ht="16.5" thickBot="1">
      <c r="B30" s="69" t="s">
        <v>88</v>
      </c>
      <c r="C30" s="34" t="s">
        <v>109</v>
      </c>
      <c r="D30" s="35" t="s">
        <v>106</v>
      </c>
      <c r="E30" s="36">
        <v>0.08</v>
      </c>
      <c r="F30" s="36">
        <v>0.17</v>
      </c>
      <c r="G30" s="37">
        <f t="shared" si="0"/>
        <v>2208.8314533558087</v>
      </c>
      <c r="H30" s="73">
        <f t="shared" ref="H30" si="5">($P$19/$P$20*E30)+($Q$19/$Q$20*F30)</f>
        <v>2493.0617226890759</v>
      </c>
      <c r="I30" s="45">
        <f>SUM(I20:I29)</f>
        <v>-125389.96973066672</v>
      </c>
      <c r="J30" s="286"/>
    </row>
    <row r="31" spans="2:17" ht="16.5" thickBot="1">
      <c r="B31" s="39" t="s">
        <v>92</v>
      </c>
      <c r="C31" s="40"/>
      <c r="D31" s="40"/>
      <c r="E31" s="41">
        <f>SUM(E20:E30)</f>
        <v>13.87</v>
      </c>
      <c r="F31" s="42">
        <f>SUM(F20:F30)</f>
        <v>13.87</v>
      </c>
      <c r="G31" s="43">
        <f>SUM(G20:G30)</f>
        <v>243347.47999999998</v>
      </c>
      <c r="H31" s="44">
        <f>SUM(H20:H30)</f>
        <v>363757.12</v>
      </c>
      <c r="I31" s="45">
        <f>H31-G31</f>
        <v>120409.64000000001</v>
      </c>
      <c r="J31" s="286"/>
    </row>
    <row r="32" spans="2:17">
      <c r="B32" s="5"/>
      <c r="C32" s="5"/>
      <c r="D32" s="5"/>
      <c r="E32" s="12"/>
      <c r="F32" s="12"/>
      <c r="G32" s="12"/>
      <c r="H32" s="12"/>
      <c r="I32" s="4"/>
    </row>
    <row r="33" spans="2:17" ht="16.5" customHeight="1" thickBot="1">
      <c r="B33" s="177" t="s">
        <v>143</v>
      </c>
      <c r="C33" s="177"/>
      <c r="D33" s="177"/>
      <c r="E33" s="177"/>
      <c r="F33" s="177"/>
      <c r="G33" s="177"/>
      <c r="H33" s="177"/>
      <c r="I33" s="177"/>
      <c r="J33" s="287"/>
      <c r="K33" s="287"/>
    </row>
    <row r="34" spans="2:17" ht="38.25" customHeight="1">
      <c r="B34" s="46"/>
      <c r="C34" s="47"/>
      <c r="D34" s="182" t="s">
        <v>110</v>
      </c>
      <c r="E34" s="183"/>
      <c r="F34" s="171" t="s">
        <v>9</v>
      </c>
      <c r="G34" s="172"/>
      <c r="H34" s="171" t="s">
        <v>10</v>
      </c>
      <c r="I34" s="223"/>
      <c r="J34" s="288"/>
      <c r="K34" s="289"/>
      <c r="L34" s="290"/>
      <c r="M34" s="291"/>
      <c r="N34" s="292"/>
      <c r="O34" s="292"/>
      <c r="P34" s="292"/>
      <c r="Q34" s="292"/>
    </row>
    <row r="35" spans="2:17">
      <c r="B35" s="48" t="s">
        <v>11</v>
      </c>
      <c r="C35" s="49"/>
      <c r="D35" s="169">
        <f>F35+H35</f>
        <v>243347.47999999998</v>
      </c>
      <c r="E35" s="184"/>
      <c r="F35" s="169">
        <f>159772.65+33773.4+N21</f>
        <v>199195.2053271028</v>
      </c>
      <c r="G35" s="184"/>
      <c r="H35" s="169">
        <f>G28</f>
        <v>44152.274672897191</v>
      </c>
      <c r="I35" s="180"/>
      <c r="J35" s="293"/>
      <c r="K35" s="298"/>
      <c r="L35" s="295">
        <v>52440.42</v>
      </c>
      <c r="M35" s="295">
        <v>288615.24</v>
      </c>
      <c r="N35" s="296">
        <f>M35-L35+N22</f>
        <v>243347.48</v>
      </c>
      <c r="O35" s="297">
        <f>N35-D35</f>
        <v>0</v>
      </c>
    </row>
    <row r="36" spans="2:17">
      <c r="B36" s="48" t="s">
        <v>12</v>
      </c>
      <c r="C36" s="49"/>
      <c r="D36" s="169">
        <f>F36+H36</f>
        <v>227310.18</v>
      </c>
      <c r="E36" s="184"/>
      <c r="F36" s="169">
        <f>148676.15+31141.12+P21</f>
        <v>185979.98490229395</v>
      </c>
      <c r="G36" s="184"/>
      <c r="H36" s="169">
        <f>39668.19+P23</f>
        <v>41330.195097706033</v>
      </c>
      <c r="I36" s="180"/>
      <c r="J36" s="293"/>
      <c r="K36" s="298"/>
      <c r="L36" s="299">
        <v>2516.9899999999998</v>
      </c>
      <c r="M36" s="295">
        <v>222002.45</v>
      </c>
      <c r="N36" s="297">
        <f>M36-L36+P22</f>
        <v>227310.18000000002</v>
      </c>
      <c r="O36" s="297">
        <f>N36-D36</f>
        <v>0</v>
      </c>
    </row>
    <row r="37" spans="2:17" ht="16.5" thickBot="1">
      <c r="B37" s="51" t="s">
        <v>91</v>
      </c>
      <c r="C37" s="52"/>
      <c r="D37" s="187">
        <f>F37+H37</f>
        <v>363757.12</v>
      </c>
      <c r="E37" s="189"/>
      <c r="F37" s="187">
        <f>H20+H21+H22+H23+H24+H25+H26+H27+H30+H29</f>
        <v>209203.12</v>
      </c>
      <c r="G37" s="189"/>
      <c r="H37" s="187">
        <f>H28</f>
        <v>154554</v>
      </c>
      <c r="I37" s="220"/>
      <c r="J37" s="293"/>
      <c r="K37" s="298"/>
      <c r="L37" s="286"/>
      <c r="M37" s="286"/>
    </row>
    <row r="38" spans="2:17" ht="36.75" thickBot="1">
      <c r="B38" s="53" t="s">
        <v>156</v>
      </c>
      <c r="C38" s="54"/>
      <c r="D38" s="198">
        <f>F38+H38</f>
        <v>-136446.94</v>
      </c>
      <c r="E38" s="199"/>
      <c r="F38" s="191">
        <f>F36-F37</f>
        <v>-23223.13509770605</v>
      </c>
      <c r="G38" s="221"/>
      <c r="H38" s="191">
        <f>H36-H37</f>
        <v>-113223.80490229397</v>
      </c>
      <c r="I38" s="222"/>
      <c r="J38" s="293"/>
      <c r="K38" s="298"/>
      <c r="L38" s="286"/>
      <c r="M38" s="286"/>
    </row>
    <row r="39" spans="2:17" ht="27.75" customHeight="1">
      <c r="B39" s="70" t="s">
        <v>79</v>
      </c>
      <c r="C39" s="70"/>
      <c r="D39" s="70"/>
      <c r="E39" s="212" t="s">
        <v>80</v>
      </c>
      <c r="F39" s="212"/>
      <c r="G39" s="195" t="s">
        <v>13</v>
      </c>
      <c r="H39" s="195"/>
      <c r="I39" s="55"/>
      <c r="J39" s="300"/>
      <c r="K39" s="284"/>
      <c r="L39" s="284"/>
      <c r="M39" s="284"/>
      <c r="N39" s="284"/>
      <c r="O39" s="284"/>
      <c r="P39" s="284"/>
      <c r="Q39" s="284"/>
    </row>
    <row r="40" spans="2:17" ht="9" customHeight="1">
      <c r="B40" s="70"/>
      <c r="C40" s="70"/>
      <c r="D40" s="70"/>
      <c r="E40" s="185" t="s">
        <v>14</v>
      </c>
      <c r="F40" s="185"/>
      <c r="G40" s="196"/>
      <c r="H40" s="196"/>
      <c r="I40" s="55"/>
      <c r="J40" s="300"/>
      <c r="K40" s="284"/>
      <c r="L40" s="284"/>
      <c r="M40" s="284"/>
      <c r="N40" s="284"/>
      <c r="O40" s="284"/>
      <c r="P40" s="284"/>
      <c r="Q40" s="284"/>
    </row>
    <row r="41" spans="2:17">
      <c r="B41" s="70" t="s">
        <v>81</v>
      </c>
      <c r="C41" s="70"/>
      <c r="D41" s="70"/>
      <c r="E41" s="186" t="s">
        <v>80</v>
      </c>
      <c r="F41" s="186"/>
      <c r="G41" s="195" t="s">
        <v>96</v>
      </c>
      <c r="H41" s="195"/>
      <c r="I41" s="55"/>
      <c r="J41" s="300"/>
      <c r="K41" s="284"/>
      <c r="L41" s="284"/>
      <c r="M41" s="284"/>
      <c r="N41" s="284"/>
      <c r="O41" s="284"/>
      <c r="P41" s="284"/>
      <c r="Q41" s="284"/>
    </row>
    <row r="42" spans="2:17" ht="9" customHeight="1">
      <c r="B42" s="70"/>
      <c r="C42" s="70"/>
      <c r="D42" s="70"/>
      <c r="E42" s="185" t="s">
        <v>14</v>
      </c>
      <c r="F42" s="185"/>
      <c r="G42" s="195"/>
      <c r="H42" s="195"/>
      <c r="I42" s="55"/>
      <c r="J42" s="300"/>
    </row>
    <row r="43" spans="2:17">
      <c r="B43" s="70" t="s">
        <v>82</v>
      </c>
      <c r="C43" s="70"/>
      <c r="D43" s="70"/>
      <c r="E43" s="186" t="s">
        <v>80</v>
      </c>
      <c r="F43" s="186"/>
      <c r="G43" s="195" t="s">
        <v>98</v>
      </c>
      <c r="H43" s="195"/>
      <c r="I43" s="55"/>
      <c r="J43" s="300"/>
    </row>
    <row r="44" spans="2:17" ht="12" customHeight="1">
      <c r="B44" s="58"/>
      <c r="C44" s="58"/>
      <c r="D44" s="58"/>
      <c r="E44" s="185" t="s">
        <v>14</v>
      </c>
      <c r="F44" s="185"/>
      <c r="G44" s="59"/>
      <c r="H44" s="57"/>
      <c r="I44" s="59"/>
      <c r="J44" s="323"/>
    </row>
    <row r="45" spans="2:17">
      <c r="B45" s="70" t="s">
        <v>83</v>
      </c>
      <c r="C45" s="70"/>
      <c r="D45" s="70"/>
      <c r="E45" s="186" t="s">
        <v>80</v>
      </c>
      <c r="F45" s="186"/>
      <c r="G45" s="195" t="s">
        <v>142</v>
      </c>
      <c r="H45" s="195"/>
      <c r="I45" s="8"/>
      <c r="J45" s="324"/>
    </row>
    <row r="46" spans="2:17" ht="10.5" customHeight="1">
      <c r="B46" s="8"/>
      <c r="C46" s="8"/>
      <c r="D46" s="8"/>
      <c r="E46" s="185" t="s">
        <v>14</v>
      </c>
      <c r="F46" s="185"/>
      <c r="G46" s="185"/>
      <c r="H46" s="185"/>
      <c r="I46" s="8"/>
      <c r="J46" s="324"/>
    </row>
  </sheetData>
  <mergeCells count="46">
    <mergeCell ref="E46:F46"/>
    <mergeCell ref="G46:H46"/>
    <mergeCell ref="E40:F40"/>
    <mergeCell ref="G40:H40"/>
    <mergeCell ref="E43:F43"/>
    <mergeCell ref="G43:H43"/>
    <mergeCell ref="F37:G37"/>
    <mergeCell ref="H37:I37"/>
    <mergeCell ref="D35:E35"/>
    <mergeCell ref="B1:I1"/>
    <mergeCell ref="E45:F45"/>
    <mergeCell ref="G45:H45"/>
    <mergeCell ref="H34:I34"/>
    <mergeCell ref="D9:F9"/>
    <mergeCell ref="D16:E16"/>
    <mergeCell ref="B17:I17"/>
    <mergeCell ref="B18:B19"/>
    <mergeCell ref="C18:C19"/>
    <mergeCell ref="D38:E38"/>
    <mergeCell ref="D34:E34"/>
    <mergeCell ref="F38:G38"/>
    <mergeCell ref="D36:E36"/>
    <mergeCell ref="B33:I33"/>
    <mergeCell ref="I18:I19"/>
    <mergeCell ref="F35:G35"/>
    <mergeCell ref="H35:I35"/>
    <mergeCell ref="F34:G34"/>
    <mergeCell ref="D18:D19"/>
    <mergeCell ref="E18:E19"/>
    <mergeCell ref="F18:F19"/>
    <mergeCell ref="B2:I2"/>
    <mergeCell ref="B3:I3"/>
    <mergeCell ref="B4:I4"/>
    <mergeCell ref="E44:F44"/>
    <mergeCell ref="B6:I7"/>
    <mergeCell ref="E41:F41"/>
    <mergeCell ref="G41:H41"/>
    <mergeCell ref="E42:F42"/>
    <mergeCell ref="G42:H42"/>
    <mergeCell ref="H38:I38"/>
    <mergeCell ref="E39:F39"/>
    <mergeCell ref="G39:H39"/>
    <mergeCell ref="G18:H18"/>
    <mergeCell ref="D37:E37"/>
    <mergeCell ref="F36:G36"/>
    <mergeCell ref="H36:I36"/>
  </mergeCells>
  <printOptions horizontalCentered="1"/>
  <pageMargins left="0.19685039370078741" right="0.19685039370078741" top="0.15748031496062992" bottom="0.23622047244094491" header="0.16" footer="0.25"/>
  <pageSetup paperSize="9" scale="4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B1:Q87"/>
  <sheetViews>
    <sheetView zoomScale="110" zoomScaleNormal="110" workbookViewId="0">
      <selection activeCell="J23" sqref="J23"/>
    </sheetView>
  </sheetViews>
  <sheetFormatPr defaultColWidth="9.140625" defaultRowHeight="15.75" outlineLevelRow="1"/>
  <cols>
    <col min="1" max="1" width="2.85546875" style="2" customWidth="1"/>
    <col min="2" max="2" width="55.5703125" style="2" customWidth="1"/>
    <col min="3" max="3" width="12" style="145" customWidth="1"/>
    <col min="4" max="4" width="10" style="4" customWidth="1"/>
    <col min="5" max="5" width="9.85546875" style="4" customWidth="1"/>
    <col min="6" max="6" width="9.7109375" style="4" customWidth="1"/>
    <col min="7" max="7" width="10.140625" style="2" customWidth="1"/>
    <col min="8" max="8" width="10.28515625" style="2" customWidth="1"/>
    <col min="9" max="9" width="12" style="2" customWidth="1"/>
    <col min="10" max="10" width="11.85546875" style="274" customWidth="1"/>
    <col min="11" max="13" width="9.140625" style="274"/>
    <col min="14" max="14" width="17.7109375" style="274" customWidth="1"/>
    <col min="15" max="16" width="14.42578125" style="274" customWidth="1"/>
    <col min="17" max="17" width="14" style="274" customWidth="1"/>
    <col min="18" max="16384" width="9.140625" style="2"/>
  </cols>
  <sheetData>
    <row r="1" spans="2:10">
      <c r="B1" s="168" t="s">
        <v>138</v>
      </c>
      <c r="C1" s="168"/>
      <c r="D1" s="168"/>
      <c r="E1" s="168"/>
      <c r="F1" s="168"/>
      <c r="G1" s="168"/>
      <c r="H1" s="168"/>
      <c r="I1" s="168"/>
    </row>
    <row r="2" spans="2:10">
      <c r="B2" s="168" t="s">
        <v>139</v>
      </c>
      <c r="C2" s="168"/>
      <c r="D2" s="168"/>
      <c r="E2" s="168"/>
      <c r="F2" s="168"/>
      <c r="G2" s="168"/>
      <c r="H2" s="168"/>
      <c r="I2" s="168"/>
    </row>
    <row r="3" spans="2:10">
      <c r="B3" s="168" t="s">
        <v>140</v>
      </c>
      <c r="C3" s="168"/>
      <c r="D3" s="168"/>
      <c r="E3" s="168"/>
      <c r="F3" s="168"/>
      <c r="G3" s="168"/>
      <c r="H3" s="168"/>
      <c r="I3" s="168"/>
    </row>
    <row r="4" spans="2:10">
      <c r="B4" s="168" t="s">
        <v>148</v>
      </c>
      <c r="C4" s="168"/>
      <c r="D4" s="168"/>
      <c r="E4" s="168"/>
      <c r="F4" s="168"/>
      <c r="G4" s="168"/>
      <c r="H4" s="168"/>
      <c r="I4" s="168"/>
    </row>
    <row r="5" spans="2:10" ht="7.5" customHeight="1">
      <c r="B5" s="66"/>
      <c r="C5" s="66"/>
      <c r="D5" s="66"/>
      <c r="E5" s="66"/>
      <c r="F5" s="66"/>
      <c r="G5" s="66"/>
      <c r="H5" s="66"/>
      <c r="I5" s="66"/>
    </row>
    <row r="6" spans="2:10" ht="19.5" customHeight="1">
      <c r="B6" s="200" t="s">
        <v>141</v>
      </c>
      <c r="C6" s="200"/>
      <c r="D6" s="200"/>
      <c r="E6" s="200"/>
      <c r="F6" s="200"/>
      <c r="G6" s="200"/>
      <c r="H6" s="200"/>
      <c r="I6" s="200"/>
    </row>
    <row r="7" spans="2:10" ht="19.5" customHeight="1">
      <c r="B7" s="200"/>
      <c r="C7" s="200"/>
      <c r="D7" s="200"/>
      <c r="E7" s="200"/>
      <c r="F7" s="200"/>
      <c r="G7" s="200"/>
      <c r="H7" s="200"/>
      <c r="I7" s="200"/>
    </row>
    <row r="8" spans="2:10" ht="8.25" customHeight="1"/>
    <row r="9" spans="2:10">
      <c r="B9" s="6" t="s">
        <v>0</v>
      </c>
      <c r="C9" s="155"/>
      <c r="D9" s="207" t="s">
        <v>63</v>
      </c>
      <c r="E9" s="207"/>
      <c r="F9" s="207"/>
    </row>
    <row r="10" spans="2:10">
      <c r="B10" s="6" t="s">
        <v>1</v>
      </c>
      <c r="C10" s="155"/>
      <c r="D10" s="63">
        <v>1970</v>
      </c>
      <c r="E10" s="63"/>
      <c r="F10" s="63"/>
    </row>
    <row r="11" spans="2:10" hidden="1" outlineLevel="1">
      <c r="B11" s="6" t="s">
        <v>2</v>
      </c>
      <c r="C11" s="155"/>
      <c r="D11" s="63">
        <v>4</v>
      </c>
      <c r="E11" s="63"/>
      <c r="F11" s="63"/>
    </row>
    <row r="12" spans="2:10" hidden="1" outlineLevel="1">
      <c r="B12" s="6" t="s">
        <v>3</v>
      </c>
      <c r="C12" s="155"/>
      <c r="D12" s="63">
        <v>31</v>
      </c>
      <c r="E12" s="63"/>
      <c r="F12" s="63"/>
    </row>
    <row r="13" spans="2:10" ht="30.75" hidden="1" customHeight="1" outlineLevel="1">
      <c r="B13" s="64" t="s">
        <v>4</v>
      </c>
      <c r="C13" s="156"/>
      <c r="D13" s="63" t="s">
        <v>64</v>
      </c>
      <c r="E13" s="63"/>
      <c r="F13" s="63"/>
    </row>
    <row r="14" spans="2:10" collapsed="1">
      <c r="B14" s="6" t="s">
        <v>5</v>
      </c>
      <c r="C14" s="155"/>
      <c r="D14" s="63" t="s">
        <v>160</v>
      </c>
      <c r="E14" s="63"/>
      <c r="F14" s="63"/>
      <c r="J14" s="276"/>
    </row>
    <row r="15" spans="2:10">
      <c r="B15" s="6" t="s">
        <v>6</v>
      </c>
      <c r="C15" s="155"/>
      <c r="D15" s="63" t="s">
        <v>168</v>
      </c>
      <c r="E15" s="63"/>
      <c r="F15" s="63"/>
    </row>
    <row r="16" spans="2:10" ht="30.75" hidden="1" customHeight="1" outlineLevel="1">
      <c r="B16" s="14" t="s">
        <v>8</v>
      </c>
      <c r="C16" s="146"/>
      <c r="D16" s="208" t="s">
        <v>65</v>
      </c>
      <c r="E16" s="208"/>
      <c r="F16" s="13"/>
      <c r="J16" s="276"/>
    </row>
    <row r="17" spans="2:17" ht="21" customHeight="1" collapsed="1" thickBot="1">
      <c r="B17" s="215" t="s">
        <v>144</v>
      </c>
      <c r="C17" s="215"/>
      <c r="D17" s="215"/>
      <c r="E17" s="215"/>
      <c r="F17" s="215"/>
      <c r="G17" s="215"/>
      <c r="H17" s="215"/>
      <c r="I17" s="215"/>
      <c r="M17" s="276"/>
      <c r="N17" s="277" t="s">
        <v>99</v>
      </c>
      <c r="O17" s="277" t="s">
        <v>100</v>
      </c>
      <c r="P17" s="277" t="s">
        <v>101</v>
      </c>
      <c r="Q17" s="277" t="s">
        <v>102</v>
      </c>
    </row>
    <row r="18" spans="2:17" ht="33.75" customHeight="1">
      <c r="B18" s="224" t="s">
        <v>97</v>
      </c>
      <c r="C18" s="218" t="s">
        <v>103</v>
      </c>
      <c r="D18" s="218" t="s">
        <v>121</v>
      </c>
      <c r="E18" s="175" t="s">
        <v>147</v>
      </c>
      <c r="F18" s="210" t="s">
        <v>146</v>
      </c>
      <c r="G18" s="213" t="s">
        <v>104</v>
      </c>
      <c r="H18" s="214"/>
      <c r="I18" s="201" t="s">
        <v>151</v>
      </c>
      <c r="M18" s="276"/>
      <c r="N18" s="277"/>
      <c r="O18" s="277"/>
      <c r="P18" s="277"/>
      <c r="Q18" s="277"/>
    </row>
    <row r="19" spans="2:17" ht="48" customHeight="1" thickBot="1">
      <c r="B19" s="225"/>
      <c r="C19" s="219"/>
      <c r="D19" s="219"/>
      <c r="E19" s="176"/>
      <c r="F19" s="211"/>
      <c r="G19" s="16" t="s">
        <v>84</v>
      </c>
      <c r="H19" s="17" t="s">
        <v>85</v>
      </c>
      <c r="I19" s="202"/>
      <c r="N19" s="278">
        <f>87503.75+O21*6</f>
        <v>90244.256858305089</v>
      </c>
      <c r="O19" s="278">
        <f>91905.5+O21*4</f>
        <v>93732.504572203383</v>
      </c>
      <c r="P19" s="278">
        <f>81508.97</f>
        <v>81508.97</v>
      </c>
      <c r="Q19" s="278">
        <f>92899.37</f>
        <v>92899.37</v>
      </c>
    </row>
    <row r="20" spans="2:17" ht="49.5" customHeight="1">
      <c r="B20" s="18" t="s">
        <v>89</v>
      </c>
      <c r="C20" s="19" t="s">
        <v>105</v>
      </c>
      <c r="D20" s="20" t="s">
        <v>106</v>
      </c>
      <c r="E20" s="21">
        <v>1.05</v>
      </c>
      <c r="F20" s="21">
        <v>1.06</v>
      </c>
      <c r="G20" s="22">
        <f>($N$19/$N$20*E20)+($O$19/$O$20*F20)</f>
        <v>18991.422124424873</v>
      </c>
      <c r="H20" s="23">
        <f>($P$19/$P$20*E20)+($Q$19/$Q$20*F20)</f>
        <v>17978.665338856936</v>
      </c>
      <c r="I20" s="24">
        <f>G20-H20</f>
        <v>1012.7567855679372</v>
      </c>
      <c r="J20" s="279"/>
      <c r="K20" s="280"/>
      <c r="L20" s="280"/>
      <c r="M20" s="281"/>
      <c r="N20" s="282">
        <f>E30-E28-E26</f>
        <v>9.870000000000001</v>
      </c>
      <c r="O20" s="282">
        <f>F30-F28-F26</f>
        <v>10.579999999999998</v>
      </c>
      <c r="P20" s="282">
        <f>E30-E28-E26</f>
        <v>9.870000000000001</v>
      </c>
      <c r="Q20" s="282">
        <f>F30-F28-F26</f>
        <v>10.579999999999998</v>
      </c>
    </row>
    <row r="21" spans="2:17" ht="51">
      <c r="B21" s="26" t="s">
        <v>93</v>
      </c>
      <c r="C21" s="19" t="s">
        <v>105</v>
      </c>
      <c r="D21" s="20" t="s">
        <v>106</v>
      </c>
      <c r="E21" s="27">
        <v>1.17</v>
      </c>
      <c r="F21" s="27">
        <v>1.19</v>
      </c>
      <c r="G21" s="22">
        <f t="shared" ref="G21:G29" si="0">($N$19/$N$20*E21)+($O$19/$O$20*F21)</f>
        <v>21240.339382656151</v>
      </c>
      <c r="H21" s="23">
        <f t="shared" ref="H21:H25" si="1">($P$19/$P$20*E21)+($Q$19/$Q$20*F21)</f>
        <v>20111.141498296376</v>
      </c>
      <c r="I21" s="24">
        <f t="shared" ref="I21:I27" si="2">G21-H21</f>
        <v>1129.1978843597753</v>
      </c>
      <c r="J21" s="283"/>
      <c r="K21" s="284"/>
      <c r="L21" s="284"/>
      <c r="M21" s="296" t="s">
        <v>166</v>
      </c>
      <c r="N21" s="297">
        <f>N22-N23</f>
        <v>4567.5114305084744</v>
      </c>
      <c r="O21" s="297">
        <f>N21/10</f>
        <v>456.75114305084742</v>
      </c>
      <c r="P21" s="297">
        <f>P22-P23</f>
        <v>4567.5114305084744</v>
      </c>
      <c r="Q21" s="297">
        <f>P21/10</f>
        <v>456.75114305084742</v>
      </c>
    </row>
    <row r="22" spans="2:17" ht="15.75" customHeight="1">
      <c r="B22" s="30" t="s">
        <v>86</v>
      </c>
      <c r="C22" s="19" t="s">
        <v>105</v>
      </c>
      <c r="D22" s="20" t="s">
        <v>106</v>
      </c>
      <c r="E22" s="27">
        <v>0.27</v>
      </c>
      <c r="F22" s="27">
        <v>0.32</v>
      </c>
      <c r="G22" s="22">
        <f t="shared" si="0"/>
        <v>5303.6974676683603</v>
      </c>
      <c r="H22" s="23">
        <f t="shared" si="1"/>
        <v>5039.5394754684239</v>
      </c>
      <c r="I22" s="24">
        <f t="shared" si="2"/>
        <v>264.15799219993642</v>
      </c>
      <c r="J22" s="286"/>
      <c r="M22" s="296" t="s">
        <v>164</v>
      </c>
      <c r="N22" s="296">
        <v>6895.68</v>
      </c>
      <c r="O22" s="296"/>
      <c r="P22" s="296">
        <v>6895.68</v>
      </c>
      <c r="Q22" s="296"/>
    </row>
    <row r="23" spans="2:17" ht="30" customHeight="1">
      <c r="B23" s="30" t="s">
        <v>87</v>
      </c>
      <c r="C23" s="32" t="s">
        <v>107</v>
      </c>
      <c r="D23" s="20" t="s">
        <v>106</v>
      </c>
      <c r="E23" s="27">
        <v>0.26</v>
      </c>
      <c r="F23" s="27">
        <v>0.23</v>
      </c>
      <c r="G23" s="22">
        <f t="shared" si="0"/>
        <v>4414.9181361018818</v>
      </c>
      <c r="H23" s="23">
        <f t="shared" si="1"/>
        <v>4166.6976412933345</v>
      </c>
      <c r="I23" s="24">
        <f t="shared" si="2"/>
        <v>248.2204948085473</v>
      </c>
      <c r="J23" s="286"/>
      <c r="M23" s="297" t="s">
        <v>167</v>
      </c>
      <c r="N23" s="297">
        <f>N22/14.75*4.98</f>
        <v>2328.1685694915259</v>
      </c>
      <c r="O23" s="296"/>
      <c r="P23" s="297">
        <f>P22/14.75*4.98</f>
        <v>2328.1685694915259</v>
      </c>
      <c r="Q23" s="296"/>
    </row>
    <row r="24" spans="2:17" ht="51">
      <c r="B24" s="26" t="s">
        <v>90</v>
      </c>
      <c r="C24" s="19" t="s">
        <v>170</v>
      </c>
      <c r="D24" s="20" t="s">
        <v>106</v>
      </c>
      <c r="E24" s="27">
        <v>1.33</v>
      </c>
      <c r="F24" s="27">
        <v>1.18</v>
      </c>
      <c r="G24" s="22">
        <f t="shared" si="0"/>
        <v>22614.671482644684</v>
      </c>
      <c r="H24" s="23">
        <f t="shared" si="1"/>
        <v>21344.65559935111</v>
      </c>
      <c r="I24" s="24">
        <f t="shared" si="2"/>
        <v>1270.015883293574</v>
      </c>
      <c r="J24" s="286"/>
    </row>
    <row r="25" spans="2:17" ht="228" customHeight="1">
      <c r="B25" s="26" t="s">
        <v>145</v>
      </c>
      <c r="C25" s="19" t="s">
        <v>109</v>
      </c>
      <c r="D25" s="20" t="s">
        <v>106</v>
      </c>
      <c r="E25" s="27">
        <v>5.46</v>
      </c>
      <c r="F25" s="27">
        <v>5.61</v>
      </c>
      <c r="G25" s="22">
        <f t="shared" si="0"/>
        <v>99623.616733973031</v>
      </c>
      <c r="H25" s="23">
        <f t="shared" si="1"/>
        <v>94349.564323492741</v>
      </c>
      <c r="I25" s="24">
        <f t="shared" si="2"/>
        <v>5274.0524104802898</v>
      </c>
      <c r="J25" s="283"/>
      <c r="K25" s="284"/>
      <c r="L25" s="284"/>
      <c r="M25" s="285"/>
      <c r="N25" s="284"/>
      <c r="O25" s="284"/>
      <c r="P25" s="284"/>
      <c r="Q25" s="284"/>
    </row>
    <row r="26" spans="2:17" ht="24">
      <c r="B26" s="30" t="s">
        <v>108</v>
      </c>
      <c r="C26" s="19" t="s">
        <v>107</v>
      </c>
      <c r="D26" s="20" t="s">
        <v>106</v>
      </c>
      <c r="E26" s="27">
        <v>2</v>
      </c>
      <c r="F26" s="27">
        <v>2</v>
      </c>
      <c r="G26" s="22">
        <v>35462.400000000001</v>
      </c>
      <c r="H26" s="28">
        <v>33146.550000000003</v>
      </c>
      <c r="I26" s="24">
        <f>H26-G26</f>
        <v>-2315.8499999999985</v>
      </c>
      <c r="J26" s="286"/>
    </row>
    <row r="27" spans="2:17" ht="123" customHeight="1">
      <c r="B27" s="26" t="s">
        <v>111</v>
      </c>
      <c r="C27" s="19" t="s">
        <v>105</v>
      </c>
      <c r="D27" s="20" t="s">
        <v>106</v>
      </c>
      <c r="E27" s="27">
        <v>0.21</v>
      </c>
      <c r="F27" s="27">
        <v>0.24</v>
      </c>
      <c r="G27" s="22">
        <f t="shared" si="0"/>
        <v>4046.3477640174597</v>
      </c>
      <c r="H27" s="23">
        <f t="shared" ref="H27" si="3">($P$19/$P$20*E27)+($Q$19/$Q$20*F27)</f>
        <v>3841.5915138961509</v>
      </c>
      <c r="I27" s="24">
        <f t="shared" si="2"/>
        <v>204.75625012130877</v>
      </c>
      <c r="J27" s="286"/>
    </row>
    <row r="28" spans="2:17" ht="52.5" customHeight="1">
      <c r="B28" s="30" t="s">
        <v>94</v>
      </c>
      <c r="C28" s="19" t="s">
        <v>105</v>
      </c>
      <c r="D28" s="20" t="s">
        <v>106</v>
      </c>
      <c r="E28" s="27">
        <v>4.9800000000000004</v>
      </c>
      <c r="F28" s="27">
        <v>5.28</v>
      </c>
      <c r="G28" s="22">
        <f>90257.54+N23</f>
        <v>92585.708569491515</v>
      </c>
      <c r="H28" s="28">
        <v>220954</v>
      </c>
      <c r="I28" s="24">
        <f>G28-H28</f>
        <v>-128368.29143050849</v>
      </c>
      <c r="J28" s="286"/>
      <c r="M28" s="276"/>
    </row>
    <row r="29" spans="2:17" ht="16.5" thickBot="1">
      <c r="B29" s="69" t="s">
        <v>88</v>
      </c>
      <c r="C29" s="34" t="s">
        <v>109</v>
      </c>
      <c r="D29" s="35" t="s">
        <v>106</v>
      </c>
      <c r="E29" s="36">
        <v>0.12</v>
      </c>
      <c r="F29" s="36">
        <v>0.75</v>
      </c>
      <c r="G29" s="37">
        <f t="shared" si="0"/>
        <v>7741.7483390220286</v>
      </c>
      <c r="H29" s="73">
        <f t="shared" ref="H29" si="4">($P$19/$P$20*E29)+($Q$19/$Q$20*F29)</f>
        <v>7576.4846093449241</v>
      </c>
      <c r="I29" s="24">
        <f>G29-H29</f>
        <v>165.26372967710449</v>
      </c>
      <c r="J29" s="286"/>
    </row>
    <row r="30" spans="2:17" ht="16.5" thickBot="1">
      <c r="B30" s="39" t="s">
        <v>92</v>
      </c>
      <c r="C30" s="40"/>
      <c r="D30" s="40"/>
      <c r="E30" s="41">
        <f>SUM(E20:E29)</f>
        <v>16.850000000000001</v>
      </c>
      <c r="F30" s="42">
        <f>SUM(F20:F29)</f>
        <v>17.86</v>
      </c>
      <c r="G30" s="43">
        <f>SUM(G20:G29)</f>
        <v>312024.87</v>
      </c>
      <c r="H30" s="44">
        <f>SUM(H20:H29)</f>
        <v>428508.88999999996</v>
      </c>
      <c r="I30" s="45">
        <f>SUM(I20:I29)</f>
        <v>-121115.72000000002</v>
      </c>
      <c r="J30" s="286"/>
    </row>
    <row r="31" spans="2:17">
      <c r="B31" s="5"/>
      <c r="C31" s="5"/>
      <c r="D31" s="5"/>
      <c r="E31" s="12"/>
      <c r="F31" s="12"/>
      <c r="G31" s="12"/>
      <c r="H31" s="12"/>
      <c r="I31" s="4"/>
    </row>
    <row r="32" spans="2:17" ht="16.5" customHeight="1" thickBot="1">
      <c r="B32" s="177" t="s">
        <v>143</v>
      </c>
      <c r="C32" s="177"/>
      <c r="D32" s="177"/>
      <c r="E32" s="177"/>
      <c r="F32" s="177"/>
      <c r="G32" s="177"/>
      <c r="H32" s="177"/>
      <c r="I32" s="177"/>
      <c r="J32" s="287"/>
      <c r="K32" s="287"/>
    </row>
    <row r="33" spans="2:17" ht="44.25" customHeight="1">
      <c r="B33" s="46"/>
      <c r="C33" s="47"/>
      <c r="D33" s="182" t="s">
        <v>110</v>
      </c>
      <c r="E33" s="183"/>
      <c r="F33" s="171" t="s">
        <v>9</v>
      </c>
      <c r="G33" s="172"/>
      <c r="H33" s="171" t="s">
        <v>10</v>
      </c>
      <c r="I33" s="223"/>
      <c r="J33" s="288"/>
      <c r="K33" s="289"/>
      <c r="L33" s="290" t="s">
        <v>152</v>
      </c>
      <c r="M33" s="291"/>
      <c r="N33" s="292"/>
      <c r="O33" s="292"/>
      <c r="P33" s="292"/>
      <c r="Q33" s="292"/>
    </row>
    <row r="34" spans="2:17">
      <c r="B34" s="48" t="s">
        <v>11</v>
      </c>
      <c r="C34" s="49"/>
      <c r="D34" s="169">
        <f>F34+H34</f>
        <v>312024.87</v>
      </c>
      <c r="E34" s="184"/>
      <c r="F34" s="169">
        <f>179409.25+35462.4+N21</f>
        <v>219439.16143050848</v>
      </c>
      <c r="G34" s="184"/>
      <c r="H34" s="169">
        <f>G28</f>
        <v>92585.708569491515</v>
      </c>
      <c r="I34" s="180"/>
      <c r="J34" s="293"/>
      <c r="K34" s="298"/>
      <c r="L34" s="295">
        <v>69546.42</v>
      </c>
      <c r="M34" s="295">
        <v>374675.61</v>
      </c>
      <c r="N34" s="296">
        <f>M34-L34+N22</f>
        <v>312024.87</v>
      </c>
      <c r="O34" s="297">
        <f>N34-D34</f>
        <v>0</v>
      </c>
    </row>
    <row r="35" spans="2:17">
      <c r="B35" s="48" t="s">
        <v>12</v>
      </c>
      <c r="C35" s="49"/>
      <c r="D35" s="169">
        <f>F35+H35</f>
        <v>290641.46000000002</v>
      </c>
      <c r="E35" s="184"/>
      <c r="F35" s="169">
        <f>166782.95+33146.55+P21</f>
        <v>204497.01143050849</v>
      </c>
      <c r="G35" s="184"/>
      <c r="H35" s="169">
        <f>83816.28+P23</f>
        <v>86144.44856949152</v>
      </c>
      <c r="I35" s="180"/>
      <c r="J35" s="293"/>
      <c r="K35" s="298"/>
      <c r="L35" s="299">
        <v>2049.15</v>
      </c>
      <c r="M35" s="295">
        <v>285794.93</v>
      </c>
      <c r="N35" s="297">
        <f>M35-L35+P22</f>
        <v>290641.45999999996</v>
      </c>
      <c r="O35" s="297">
        <f>N35-D35</f>
        <v>0</v>
      </c>
    </row>
    <row r="36" spans="2:17" ht="16.5" thickBot="1">
      <c r="B36" s="51" t="s">
        <v>91</v>
      </c>
      <c r="C36" s="52"/>
      <c r="D36" s="187">
        <f>F36+H36</f>
        <v>428508.89</v>
      </c>
      <c r="E36" s="189"/>
      <c r="F36" s="187">
        <f>H20+H21+H22+H23+H24+H25+H26+H27+H29</f>
        <v>207554.88999999998</v>
      </c>
      <c r="G36" s="189"/>
      <c r="H36" s="187">
        <f>H28</f>
        <v>220954</v>
      </c>
      <c r="I36" s="220"/>
      <c r="J36" s="293"/>
      <c r="K36" s="298"/>
      <c r="L36" s="286"/>
      <c r="M36" s="286"/>
    </row>
    <row r="37" spans="2:17" ht="28.5" customHeight="1" thickBot="1">
      <c r="B37" s="53" t="s">
        <v>156</v>
      </c>
      <c r="C37" s="54"/>
      <c r="D37" s="198">
        <f>F37+H37</f>
        <v>-137867.43</v>
      </c>
      <c r="E37" s="199"/>
      <c r="F37" s="191">
        <f>F35-F36</f>
        <v>-3057.8785694914986</v>
      </c>
      <c r="G37" s="221"/>
      <c r="H37" s="191">
        <f>H35-H36</f>
        <v>-134809.55143050849</v>
      </c>
      <c r="I37" s="222"/>
      <c r="J37" s="293"/>
      <c r="K37" s="298"/>
      <c r="L37" s="286"/>
      <c r="M37" s="286"/>
    </row>
    <row r="38" spans="2:17" ht="25.5" customHeight="1">
      <c r="B38" s="70" t="s">
        <v>79</v>
      </c>
      <c r="C38" s="70"/>
      <c r="D38" s="70"/>
      <c r="E38" s="212" t="s">
        <v>80</v>
      </c>
      <c r="F38" s="212"/>
      <c r="G38" s="195" t="s">
        <v>13</v>
      </c>
      <c r="H38" s="195"/>
      <c r="I38" s="55"/>
      <c r="J38" s="300"/>
      <c r="K38" s="284"/>
      <c r="L38" s="284"/>
      <c r="M38" s="284"/>
      <c r="N38" s="284"/>
      <c r="O38" s="284"/>
      <c r="P38" s="284"/>
      <c r="Q38" s="284"/>
    </row>
    <row r="39" spans="2:17" ht="8.25" customHeight="1">
      <c r="B39" s="70"/>
      <c r="C39" s="70"/>
      <c r="D39" s="70"/>
      <c r="E39" s="185" t="s">
        <v>14</v>
      </c>
      <c r="F39" s="185"/>
      <c r="G39" s="196"/>
      <c r="H39" s="196"/>
      <c r="I39" s="55"/>
      <c r="J39" s="300"/>
      <c r="K39" s="284"/>
      <c r="L39" s="284"/>
      <c r="M39" s="284"/>
      <c r="N39" s="284"/>
      <c r="O39" s="284"/>
      <c r="P39" s="284"/>
      <c r="Q39" s="284"/>
    </row>
    <row r="40" spans="2:17">
      <c r="B40" s="70" t="s">
        <v>81</v>
      </c>
      <c r="C40" s="70"/>
      <c r="D40" s="70"/>
      <c r="E40" s="186" t="s">
        <v>80</v>
      </c>
      <c r="F40" s="186"/>
      <c r="G40" s="195" t="s">
        <v>96</v>
      </c>
      <c r="H40" s="195"/>
      <c r="I40" s="55"/>
      <c r="J40" s="300"/>
      <c r="K40" s="284"/>
      <c r="L40" s="284"/>
      <c r="M40" s="284"/>
      <c r="N40" s="284"/>
      <c r="O40" s="284"/>
      <c r="P40" s="284"/>
      <c r="Q40" s="284"/>
    </row>
    <row r="41" spans="2:17" ht="10.5" customHeight="1">
      <c r="B41" s="70"/>
      <c r="C41" s="70"/>
      <c r="D41" s="70"/>
      <c r="E41" s="185" t="s">
        <v>14</v>
      </c>
      <c r="F41" s="185"/>
      <c r="G41" s="195"/>
      <c r="H41" s="195"/>
      <c r="I41" s="55"/>
      <c r="J41" s="300"/>
    </row>
    <row r="42" spans="2:17">
      <c r="B42" s="70" t="s">
        <v>82</v>
      </c>
      <c r="C42" s="70"/>
      <c r="D42" s="70"/>
      <c r="E42" s="186" t="s">
        <v>80</v>
      </c>
      <c r="F42" s="186"/>
      <c r="G42" s="195" t="s">
        <v>98</v>
      </c>
      <c r="H42" s="195"/>
      <c r="I42" s="55"/>
      <c r="J42" s="300"/>
    </row>
    <row r="43" spans="2:17" ht="10.5" customHeight="1">
      <c r="B43" s="58"/>
      <c r="C43" s="58"/>
      <c r="D43" s="58"/>
      <c r="E43" s="185" t="s">
        <v>14</v>
      </c>
      <c r="F43" s="185"/>
      <c r="G43" s="59"/>
      <c r="H43" s="57"/>
      <c r="I43" s="60"/>
      <c r="J43" s="296"/>
    </row>
    <row r="44" spans="2:17">
      <c r="B44" s="70" t="s">
        <v>83</v>
      </c>
      <c r="C44" s="70"/>
      <c r="D44" s="70"/>
      <c r="E44" s="196" t="s">
        <v>80</v>
      </c>
      <c r="F44" s="196"/>
      <c r="G44" s="195" t="s">
        <v>142</v>
      </c>
      <c r="H44" s="195"/>
    </row>
    <row r="45" spans="2:17" ht="12" customHeight="1">
      <c r="B45" s="8"/>
      <c r="C45" s="8"/>
      <c r="D45" s="8"/>
      <c r="E45" s="185" t="s">
        <v>14</v>
      </c>
      <c r="F45" s="185"/>
      <c r="G45" s="185"/>
      <c r="H45" s="185"/>
    </row>
    <row r="46" spans="2:17">
      <c r="C46" s="12"/>
    </row>
    <row r="47" spans="2:17">
      <c r="C47" s="12"/>
    </row>
    <row r="48" spans="2:17">
      <c r="C48" s="12"/>
    </row>
    <row r="49" spans="3:3">
      <c r="C49" s="12"/>
    </row>
    <row r="50" spans="3:3">
      <c r="C50" s="12"/>
    </row>
    <row r="51" spans="3:3">
      <c r="C51" s="12"/>
    </row>
    <row r="52" spans="3:3">
      <c r="C52" s="12"/>
    </row>
    <row r="53" spans="3:3">
      <c r="C53" s="12"/>
    </row>
    <row r="54" spans="3:3">
      <c r="C54" s="12"/>
    </row>
    <row r="55" spans="3:3">
      <c r="C55" s="12"/>
    </row>
    <row r="56" spans="3:3">
      <c r="C56" s="12"/>
    </row>
    <row r="57" spans="3:3">
      <c r="C57" s="12"/>
    </row>
    <row r="58" spans="3:3">
      <c r="C58" s="12"/>
    </row>
    <row r="59" spans="3:3">
      <c r="C59" s="12"/>
    </row>
    <row r="60" spans="3:3">
      <c r="C60" s="12"/>
    </row>
    <row r="61" spans="3:3">
      <c r="C61" s="12"/>
    </row>
    <row r="62" spans="3:3">
      <c r="C62" s="12"/>
    </row>
    <row r="63" spans="3:3">
      <c r="C63" s="12"/>
    </row>
    <row r="64" spans="3:3">
      <c r="C64" s="12"/>
    </row>
    <row r="65" spans="3:3">
      <c r="C65" s="12"/>
    </row>
    <row r="66" spans="3:3">
      <c r="C66" s="12"/>
    </row>
    <row r="67" spans="3:3">
      <c r="C67" s="12"/>
    </row>
    <row r="68" spans="3:3">
      <c r="C68" s="12"/>
    </row>
    <row r="69" spans="3:3">
      <c r="C69" s="12"/>
    </row>
    <row r="70" spans="3:3">
      <c r="C70" s="12"/>
    </row>
    <row r="71" spans="3:3">
      <c r="C71" s="12"/>
    </row>
    <row r="72" spans="3:3">
      <c r="C72" s="12"/>
    </row>
    <row r="73" spans="3:3">
      <c r="C73" s="12"/>
    </row>
    <row r="74" spans="3:3">
      <c r="C74" s="12"/>
    </row>
    <row r="75" spans="3:3">
      <c r="C75" s="12"/>
    </row>
    <row r="76" spans="3:3">
      <c r="C76" s="12"/>
    </row>
    <row r="77" spans="3:3">
      <c r="C77" s="12"/>
    </row>
    <row r="78" spans="3:3">
      <c r="C78" s="12"/>
    </row>
    <row r="79" spans="3:3">
      <c r="C79" s="12"/>
    </row>
    <row r="80" spans="3:3">
      <c r="C80" s="12"/>
    </row>
    <row r="81" spans="3:3">
      <c r="C81" s="12"/>
    </row>
    <row r="82" spans="3:3">
      <c r="C82" s="12"/>
    </row>
    <row r="83" spans="3:3">
      <c r="C83" s="12"/>
    </row>
    <row r="84" spans="3:3">
      <c r="C84" s="12"/>
    </row>
    <row r="85" spans="3:3">
      <c r="C85" s="12"/>
    </row>
    <row r="86" spans="3:3">
      <c r="C86" s="12"/>
    </row>
    <row r="87" spans="3:3">
      <c r="C87" s="12"/>
    </row>
  </sheetData>
  <mergeCells count="46">
    <mergeCell ref="E45:F45"/>
    <mergeCell ref="G45:H45"/>
    <mergeCell ref="F34:G34"/>
    <mergeCell ref="F35:G35"/>
    <mergeCell ref="F36:G36"/>
    <mergeCell ref="F37:G37"/>
    <mergeCell ref="H35:I35"/>
    <mergeCell ref="E38:F38"/>
    <mergeCell ref="G38:H38"/>
    <mergeCell ref="E39:F39"/>
    <mergeCell ref="G39:H39"/>
    <mergeCell ref="G40:H40"/>
    <mergeCell ref="E40:F40"/>
    <mergeCell ref="G42:H42"/>
    <mergeCell ref="G18:H18"/>
    <mergeCell ref="I18:I19"/>
    <mergeCell ref="B1:I1"/>
    <mergeCell ref="E44:F44"/>
    <mergeCell ref="G44:H44"/>
    <mergeCell ref="H37:I37"/>
    <mergeCell ref="H34:I34"/>
    <mergeCell ref="D33:E33"/>
    <mergeCell ref="D34:E34"/>
    <mergeCell ref="D35:E35"/>
    <mergeCell ref="D36:E36"/>
    <mergeCell ref="D37:E37"/>
    <mergeCell ref="E43:F43"/>
    <mergeCell ref="E41:F41"/>
    <mergeCell ref="G41:H41"/>
    <mergeCell ref="E42:F42"/>
    <mergeCell ref="B2:I2"/>
    <mergeCell ref="B3:I3"/>
    <mergeCell ref="B4:I4"/>
    <mergeCell ref="B32:I32"/>
    <mergeCell ref="H36:I36"/>
    <mergeCell ref="F33:G33"/>
    <mergeCell ref="H33:I33"/>
    <mergeCell ref="B6:I7"/>
    <mergeCell ref="D9:F9"/>
    <mergeCell ref="D16:E16"/>
    <mergeCell ref="B17:I17"/>
    <mergeCell ref="B18:B19"/>
    <mergeCell ref="C18:C19"/>
    <mergeCell ref="D18:D19"/>
    <mergeCell ref="E18:E19"/>
    <mergeCell ref="F18:F19"/>
  </mergeCells>
  <printOptions horizontalCentered="1"/>
  <pageMargins left="0.19685039370078741" right="0.19685039370078741" top="0.19685039370078741" bottom="0.23622047244094491" header="0.31496062992125984" footer="0.31496062992125984"/>
  <pageSetup paperSize="9" scale="43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R75"/>
  <sheetViews>
    <sheetView zoomScale="110" zoomScaleNormal="110" workbookViewId="0">
      <selection activeCell="K22" sqref="K22"/>
    </sheetView>
  </sheetViews>
  <sheetFormatPr defaultColWidth="9.140625" defaultRowHeight="15.75" outlineLevelRow="1"/>
  <cols>
    <col min="1" max="1" width="2.85546875" style="2" customWidth="1"/>
    <col min="2" max="2" width="55.85546875" style="2" customWidth="1"/>
    <col min="3" max="3" width="11.5703125" style="4" customWidth="1"/>
    <col min="4" max="4" width="8.5703125" style="4" customWidth="1"/>
    <col min="5" max="5" width="9.42578125" style="4" customWidth="1"/>
    <col min="6" max="6" width="9.5703125" style="4" customWidth="1"/>
    <col min="7" max="7" width="9.5703125" style="2" customWidth="1"/>
    <col min="8" max="9" width="10.28515625" style="2" customWidth="1"/>
    <col min="10" max="10" width="14.7109375" style="2" customWidth="1"/>
    <col min="11" max="11" width="14" style="2" customWidth="1"/>
    <col min="12" max="12" width="14" style="274" customWidth="1"/>
    <col min="13" max="14" width="9.140625" style="274"/>
    <col min="15" max="15" width="11.85546875" style="274" customWidth="1"/>
    <col min="16" max="16" width="13.5703125" style="274" customWidth="1"/>
    <col min="17" max="17" width="12.7109375" style="274" customWidth="1"/>
    <col min="18" max="18" width="13.140625" style="274" customWidth="1"/>
    <col min="19" max="16384" width="9.140625" style="2"/>
  </cols>
  <sheetData>
    <row r="1" spans="1:12">
      <c r="B1" s="168" t="s">
        <v>138</v>
      </c>
      <c r="C1" s="168"/>
      <c r="D1" s="168"/>
      <c r="E1" s="168"/>
      <c r="F1" s="168"/>
      <c r="G1" s="168"/>
      <c r="H1" s="168"/>
      <c r="I1" s="168"/>
      <c r="J1" s="168"/>
      <c r="K1" s="168"/>
      <c r="L1" s="325"/>
    </row>
    <row r="2" spans="1:12">
      <c r="B2" s="168" t="s">
        <v>139</v>
      </c>
      <c r="C2" s="168"/>
      <c r="D2" s="168"/>
      <c r="E2" s="168"/>
      <c r="F2" s="168"/>
      <c r="G2" s="168"/>
      <c r="H2" s="168"/>
      <c r="I2" s="168"/>
      <c r="J2" s="168"/>
      <c r="K2" s="168"/>
      <c r="L2" s="325"/>
    </row>
    <row r="3" spans="1:12">
      <c r="B3" s="168" t="s">
        <v>140</v>
      </c>
      <c r="C3" s="168"/>
      <c r="D3" s="168"/>
      <c r="E3" s="168"/>
      <c r="F3" s="168"/>
      <c r="G3" s="168"/>
      <c r="H3" s="168"/>
      <c r="I3" s="168"/>
      <c r="J3" s="168"/>
      <c r="K3" s="168"/>
      <c r="L3" s="325"/>
    </row>
    <row r="4" spans="1:12">
      <c r="B4" s="168" t="s">
        <v>148</v>
      </c>
      <c r="C4" s="168"/>
      <c r="D4" s="168"/>
      <c r="E4" s="168"/>
      <c r="F4" s="168"/>
      <c r="G4" s="168"/>
      <c r="H4" s="168"/>
      <c r="I4" s="168"/>
      <c r="J4" s="168"/>
      <c r="K4" s="168"/>
      <c r="L4" s="325"/>
    </row>
    <row r="5" spans="1:12" ht="9" customHeight="1">
      <c r="B5" s="66"/>
      <c r="C5" s="66"/>
      <c r="D5" s="66"/>
      <c r="E5" s="66"/>
      <c r="F5" s="66"/>
      <c r="G5" s="66"/>
      <c r="H5" s="66"/>
      <c r="I5" s="66"/>
      <c r="J5" s="8"/>
      <c r="K5" s="8"/>
      <c r="L5" s="324"/>
    </row>
    <row r="6" spans="1:12" ht="15.75" customHeight="1">
      <c r="A6" s="11"/>
      <c r="B6" s="200" t="s">
        <v>141</v>
      </c>
      <c r="C6" s="200"/>
      <c r="D6" s="200"/>
      <c r="E6" s="200"/>
      <c r="F6" s="200"/>
      <c r="G6" s="200"/>
      <c r="H6" s="200"/>
      <c r="I6" s="200"/>
      <c r="J6" s="11"/>
    </row>
    <row r="7" spans="1:12" ht="24" customHeight="1">
      <c r="A7" s="11"/>
      <c r="B7" s="200"/>
      <c r="C7" s="200"/>
      <c r="D7" s="200"/>
      <c r="E7" s="200"/>
      <c r="F7" s="200"/>
      <c r="G7" s="200"/>
      <c r="H7" s="200"/>
      <c r="I7" s="200"/>
      <c r="J7" s="11"/>
    </row>
    <row r="8" spans="1:12" ht="8.25" customHeight="1"/>
    <row r="9" spans="1:12">
      <c r="B9" s="6" t="s">
        <v>0</v>
      </c>
      <c r="C9" s="60"/>
      <c r="D9" s="207" t="s">
        <v>66</v>
      </c>
      <c r="E9" s="207"/>
      <c r="F9" s="207"/>
    </row>
    <row r="10" spans="1:12">
      <c r="B10" s="6" t="s">
        <v>1</v>
      </c>
      <c r="C10" s="60"/>
      <c r="D10" s="63">
        <v>1969</v>
      </c>
      <c r="E10" s="63"/>
      <c r="F10" s="63"/>
    </row>
    <row r="11" spans="1:12" hidden="1" outlineLevel="1">
      <c r="B11" s="6" t="s">
        <v>2</v>
      </c>
      <c r="C11" s="60"/>
      <c r="D11" s="63">
        <v>4</v>
      </c>
      <c r="E11" s="63"/>
      <c r="F11" s="63"/>
    </row>
    <row r="12" spans="1:12" hidden="1" outlineLevel="1">
      <c r="B12" s="6" t="s">
        <v>3</v>
      </c>
      <c r="C12" s="60"/>
      <c r="D12" s="63">
        <v>63</v>
      </c>
      <c r="E12" s="63"/>
      <c r="F12" s="63"/>
    </row>
    <row r="13" spans="1:12" ht="30.75" hidden="1" customHeight="1" outlineLevel="1">
      <c r="B13" s="64" t="s">
        <v>4</v>
      </c>
      <c r="C13" s="84"/>
      <c r="D13" s="63" t="s">
        <v>67</v>
      </c>
      <c r="E13" s="63"/>
      <c r="F13" s="63"/>
    </row>
    <row r="14" spans="1:12" collapsed="1">
      <c r="B14" s="6" t="s">
        <v>5</v>
      </c>
      <c r="C14" s="60"/>
      <c r="D14" s="63" t="s">
        <v>161</v>
      </c>
      <c r="E14" s="63"/>
      <c r="F14" s="63"/>
      <c r="J14" s="5"/>
    </row>
    <row r="15" spans="1:12" hidden="1" outlineLevel="1">
      <c r="B15" s="2" t="s">
        <v>6</v>
      </c>
      <c r="D15" s="13" t="s">
        <v>68</v>
      </c>
      <c r="E15" s="13"/>
      <c r="F15" s="13"/>
    </row>
    <row r="16" spans="1:12" ht="30.75" hidden="1" customHeight="1" outlineLevel="1">
      <c r="B16" s="14" t="s">
        <v>8</v>
      </c>
      <c r="C16" s="83"/>
      <c r="D16" s="208" t="s">
        <v>69</v>
      </c>
      <c r="E16" s="208"/>
      <c r="F16" s="13"/>
      <c r="J16" s="5"/>
    </row>
    <row r="17" spans="2:18" ht="17.25" customHeight="1" collapsed="1" thickBot="1">
      <c r="B17" s="215" t="s">
        <v>144</v>
      </c>
      <c r="C17" s="215"/>
      <c r="D17" s="215"/>
      <c r="E17" s="215"/>
      <c r="F17" s="215"/>
      <c r="G17" s="215"/>
      <c r="H17" s="215"/>
      <c r="I17" s="215"/>
      <c r="N17" s="276"/>
      <c r="O17" s="277" t="s">
        <v>99</v>
      </c>
      <c r="P17" s="277" t="s">
        <v>100</v>
      </c>
      <c r="Q17" s="277" t="s">
        <v>101</v>
      </c>
      <c r="R17" s="277" t="s">
        <v>102</v>
      </c>
    </row>
    <row r="18" spans="2:18" ht="32.25" customHeight="1">
      <c r="B18" s="224" t="s">
        <v>97</v>
      </c>
      <c r="C18" s="218" t="s">
        <v>103</v>
      </c>
      <c r="D18" s="218" t="s">
        <v>121</v>
      </c>
      <c r="E18" s="175" t="s">
        <v>147</v>
      </c>
      <c r="F18" s="210" t="s">
        <v>146</v>
      </c>
      <c r="G18" s="213" t="s">
        <v>104</v>
      </c>
      <c r="H18" s="214"/>
      <c r="I18" s="201" t="s">
        <v>151</v>
      </c>
      <c r="N18" s="276"/>
      <c r="O18" s="277"/>
      <c r="P18" s="277"/>
      <c r="Q18" s="277"/>
      <c r="R18" s="277"/>
    </row>
    <row r="19" spans="2:18" ht="41.25" customHeight="1" thickBot="1">
      <c r="B19" s="225"/>
      <c r="C19" s="219"/>
      <c r="D19" s="219"/>
      <c r="E19" s="176"/>
      <c r="F19" s="211"/>
      <c r="G19" s="16" t="s">
        <v>84</v>
      </c>
      <c r="H19" s="17" t="s">
        <v>85</v>
      </c>
      <c r="I19" s="202"/>
      <c r="O19" s="278">
        <v>152264.9</v>
      </c>
      <c r="P19" s="278">
        <f>305850.91-O19</f>
        <v>153586.00999999998</v>
      </c>
      <c r="Q19" s="278">
        <v>140894.63</v>
      </c>
      <c r="R19" s="278">
        <v>160583.82</v>
      </c>
    </row>
    <row r="20" spans="2:18" ht="54" customHeight="1">
      <c r="B20" s="18" t="s">
        <v>89</v>
      </c>
      <c r="C20" s="19" t="s">
        <v>105</v>
      </c>
      <c r="D20" s="20" t="s">
        <v>106</v>
      </c>
      <c r="E20" s="21">
        <v>1.05</v>
      </c>
      <c r="F20" s="21">
        <v>1.06</v>
      </c>
      <c r="G20" s="22">
        <f>($O$19/$O$20*E20)+($P$19/$P$20*F20)</f>
        <v>32171.417308075776</v>
      </c>
      <c r="H20" s="23">
        <f>($Q$19/$Q$20*E20)+($R$19/$R$20*F20)</f>
        <v>31720.659092721842</v>
      </c>
      <c r="I20" s="24">
        <f>G20-H20</f>
        <v>450.75821535393334</v>
      </c>
      <c r="J20" s="25"/>
      <c r="K20" s="9"/>
      <c r="L20" s="280"/>
      <c r="M20" s="280"/>
      <c r="N20" s="281"/>
      <c r="O20" s="282">
        <f>E30-E28-E26</f>
        <v>10.029999999999998</v>
      </c>
      <c r="P20" s="282">
        <f>F30-F28-F26</f>
        <v>10.030000000000001</v>
      </c>
      <c r="Q20" s="282">
        <f>E30-E28-E26</f>
        <v>10.029999999999998</v>
      </c>
      <c r="R20" s="282">
        <f>F30-F28-F26</f>
        <v>10.030000000000001</v>
      </c>
    </row>
    <row r="21" spans="2:18" ht="51">
      <c r="B21" s="26" t="s">
        <v>93</v>
      </c>
      <c r="C21" s="19" t="s">
        <v>105</v>
      </c>
      <c r="D21" s="20" t="s">
        <v>106</v>
      </c>
      <c r="E21" s="27">
        <v>1.17</v>
      </c>
      <c r="F21" s="27">
        <v>1.19</v>
      </c>
      <c r="G21" s="22">
        <f t="shared" ref="G21:G29" si="0">($O$19/$O$20*E21)+($P$19/$P$20*F21)</f>
        <v>35983.777158524419</v>
      </c>
      <c r="H21" s="23">
        <f t="shared" ref="H21:H25" si="1">($Q$19/$Q$20*E21)+($R$19/$R$20*F21)</f>
        <v>35487.683240279162</v>
      </c>
      <c r="I21" s="24">
        <f t="shared" ref="I21:I27" si="2">G21-H21</f>
        <v>496.09391824525665</v>
      </c>
      <c r="J21" s="29"/>
      <c r="K21" s="3"/>
      <c r="L21" s="284"/>
      <c r="M21" s="284"/>
      <c r="N21" s="284"/>
      <c r="O21" s="285"/>
      <c r="P21" s="284"/>
      <c r="Q21" s="284"/>
      <c r="R21" s="284"/>
    </row>
    <row r="22" spans="2:18" ht="51.75" customHeight="1">
      <c r="B22" s="30" t="s">
        <v>86</v>
      </c>
      <c r="C22" s="19" t="s">
        <v>105</v>
      </c>
      <c r="D22" s="20" t="s">
        <v>106</v>
      </c>
      <c r="E22" s="27">
        <v>0.27</v>
      </c>
      <c r="F22" s="27">
        <v>0.32</v>
      </c>
      <c r="G22" s="22">
        <f t="shared" si="0"/>
        <v>8998.907896311066</v>
      </c>
      <c r="H22" s="23">
        <f t="shared" si="1"/>
        <v>8916.0889830508495</v>
      </c>
      <c r="I22" s="24">
        <f t="shared" si="2"/>
        <v>82.818913260216505</v>
      </c>
      <c r="J22" s="31"/>
      <c r="N22" s="276"/>
    </row>
    <row r="23" spans="2:18" ht="25.5">
      <c r="B23" s="30" t="s">
        <v>87</v>
      </c>
      <c r="C23" s="32" t="s">
        <v>107</v>
      </c>
      <c r="D23" s="20" t="s">
        <v>106</v>
      </c>
      <c r="E23" s="27">
        <v>0.2</v>
      </c>
      <c r="F23" s="27">
        <v>0.18</v>
      </c>
      <c r="G23" s="22">
        <f t="shared" si="0"/>
        <v>5792.4687736789638</v>
      </c>
      <c r="H23" s="23">
        <f t="shared" si="1"/>
        <v>5691.3273778664015</v>
      </c>
      <c r="I23" s="24">
        <f t="shared" si="2"/>
        <v>101.14139581256222</v>
      </c>
      <c r="J23" s="31"/>
      <c r="N23" s="276"/>
    </row>
    <row r="24" spans="2:18" ht="51">
      <c r="B24" s="26" t="s">
        <v>90</v>
      </c>
      <c r="C24" s="19" t="s">
        <v>170</v>
      </c>
      <c r="D24" s="20" t="s">
        <v>106</v>
      </c>
      <c r="E24" s="27">
        <v>1.33</v>
      </c>
      <c r="F24" s="27">
        <v>1.18</v>
      </c>
      <c r="G24" s="22">
        <f t="shared" si="0"/>
        <v>38259.60207377866</v>
      </c>
      <c r="H24" s="23">
        <f t="shared" si="1"/>
        <v>37575.151096709873</v>
      </c>
      <c r="I24" s="24">
        <f t="shared" si="2"/>
        <v>684.45097706878732</v>
      </c>
      <c r="J24" s="31"/>
    </row>
    <row r="25" spans="2:18" ht="216.75" customHeight="1">
      <c r="B25" s="26" t="s">
        <v>145</v>
      </c>
      <c r="C25" s="19" t="s">
        <v>109</v>
      </c>
      <c r="D25" s="20" t="s">
        <v>106</v>
      </c>
      <c r="E25" s="27">
        <v>5.6</v>
      </c>
      <c r="F25" s="27">
        <v>5.61</v>
      </c>
      <c r="G25" s="22">
        <f t="shared" si="0"/>
        <v>170917.3435792622</v>
      </c>
      <c r="H25" s="23">
        <f t="shared" si="1"/>
        <v>168483.06662013958</v>
      </c>
      <c r="I25" s="24">
        <f t="shared" si="2"/>
        <v>2434.2769591226242</v>
      </c>
      <c r="J25" s="29"/>
      <c r="K25" s="3"/>
      <c r="L25" s="284"/>
      <c r="M25" s="284"/>
      <c r="N25" s="285"/>
      <c r="O25" s="284"/>
      <c r="P25" s="284"/>
      <c r="Q25" s="284"/>
      <c r="R25" s="284"/>
    </row>
    <row r="26" spans="2:18" ht="24">
      <c r="B26" s="30" t="s">
        <v>108</v>
      </c>
      <c r="C26" s="19" t="s">
        <v>107</v>
      </c>
      <c r="D26" s="20" t="s">
        <v>106</v>
      </c>
      <c r="E26" s="27">
        <v>2</v>
      </c>
      <c r="F26" s="27">
        <v>2</v>
      </c>
      <c r="G26" s="22">
        <v>60902.17</v>
      </c>
      <c r="H26" s="28">
        <v>56127.35</v>
      </c>
      <c r="I26" s="24">
        <f>H26-G26</f>
        <v>-4774.82</v>
      </c>
      <c r="J26" s="31"/>
    </row>
    <row r="27" spans="2:18" ht="102">
      <c r="B27" s="26" t="s">
        <v>111</v>
      </c>
      <c r="C27" s="19" t="s">
        <v>105</v>
      </c>
      <c r="D27" s="20" t="s">
        <v>106</v>
      </c>
      <c r="E27" s="27">
        <v>0.21</v>
      </c>
      <c r="F27" s="27">
        <v>0.24</v>
      </c>
      <c r="G27" s="22">
        <f t="shared" si="0"/>
        <v>6863.0380259222329</v>
      </c>
      <c r="H27" s="23">
        <f t="shared" ref="H27" si="3">($Q$19/$Q$20*E27)+($R$19/$R$20*F27)</f>
        <v>6792.4216450648055</v>
      </c>
      <c r="I27" s="24">
        <f t="shared" si="2"/>
        <v>70.61638085742743</v>
      </c>
      <c r="J27" s="31"/>
    </row>
    <row r="28" spans="2:18" ht="54.75" customHeight="1">
      <c r="B28" s="30" t="s">
        <v>94</v>
      </c>
      <c r="C28" s="19" t="s">
        <v>105</v>
      </c>
      <c r="D28" s="20" t="s">
        <v>106</v>
      </c>
      <c r="E28" s="27">
        <v>4.82</v>
      </c>
      <c r="F28" s="27">
        <v>4.82</v>
      </c>
      <c r="G28" s="22">
        <v>146979.20000000001</v>
      </c>
      <c r="H28" s="28">
        <v>241467</v>
      </c>
      <c r="I28" s="24">
        <f>G28-H28</f>
        <v>-94487.799999999988</v>
      </c>
      <c r="J28" s="31"/>
      <c r="N28" s="276"/>
    </row>
    <row r="29" spans="2:18" ht="16.5" thickBot="1">
      <c r="B29" s="69" t="s">
        <v>88</v>
      </c>
      <c r="C29" s="34" t="s">
        <v>109</v>
      </c>
      <c r="D29" s="35" t="s">
        <v>106</v>
      </c>
      <c r="E29" s="36">
        <v>0.2</v>
      </c>
      <c r="F29" s="36">
        <v>0.25</v>
      </c>
      <c r="G29" s="37">
        <f t="shared" si="0"/>
        <v>6864.3551844466601</v>
      </c>
      <c r="H29" s="73">
        <f t="shared" ref="H29" si="4">($Q$19/$Q$20*E29)+($R$19/$R$20*F29)</f>
        <v>6812.0519441674987</v>
      </c>
      <c r="I29" s="24">
        <f>G29-H29</f>
        <v>52.3032402791614</v>
      </c>
      <c r="J29" s="31"/>
    </row>
    <row r="30" spans="2:18" ht="16.5" thickBot="1">
      <c r="B30" s="39" t="s">
        <v>92</v>
      </c>
      <c r="C30" s="40"/>
      <c r="D30" s="40"/>
      <c r="E30" s="41">
        <f>SUM(E20:E29)</f>
        <v>16.849999999999998</v>
      </c>
      <c r="F30" s="42">
        <f>SUM(F20:F29)</f>
        <v>16.850000000000001</v>
      </c>
      <c r="G30" s="43">
        <f>SUM(G20:G29)</f>
        <v>513732.28</v>
      </c>
      <c r="H30" s="44">
        <f>SUM(H20:H29)</f>
        <v>599072.79999999993</v>
      </c>
      <c r="I30" s="45">
        <f>SUM(I20:I29)</f>
        <v>-94890.160000000018</v>
      </c>
      <c r="J30" s="31"/>
    </row>
    <row r="31" spans="2:18">
      <c r="B31" s="5"/>
      <c r="C31" s="5"/>
      <c r="D31" s="5"/>
      <c r="E31" s="12"/>
      <c r="F31" s="12"/>
      <c r="G31" s="12"/>
      <c r="H31" s="12"/>
      <c r="I31" s="4"/>
    </row>
    <row r="32" spans="2:18" ht="16.5" thickBot="1">
      <c r="B32" s="266" t="s">
        <v>143</v>
      </c>
      <c r="C32" s="266"/>
      <c r="D32" s="266"/>
      <c r="E32" s="266"/>
      <c r="F32" s="266"/>
      <c r="G32" s="266"/>
      <c r="H32" s="266"/>
      <c r="I32" s="266"/>
      <c r="J32" s="266"/>
      <c r="K32" s="266"/>
      <c r="L32" s="326"/>
    </row>
    <row r="33" spans="2:18" ht="41.25" customHeight="1">
      <c r="B33" s="46"/>
      <c r="C33" s="47"/>
      <c r="D33" s="182" t="s">
        <v>110</v>
      </c>
      <c r="E33" s="183"/>
      <c r="F33" s="171" t="s">
        <v>9</v>
      </c>
      <c r="G33" s="172"/>
      <c r="H33" s="171" t="s">
        <v>10</v>
      </c>
      <c r="I33" s="223"/>
      <c r="J33" s="159" t="s">
        <v>126</v>
      </c>
      <c r="K33" s="160" t="s">
        <v>127</v>
      </c>
      <c r="L33" s="289"/>
      <c r="M33" s="290" t="s">
        <v>152</v>
      </c>
      <c r="N33" s="291"/>
      <c r="O33" s="292"/>
      <c r="P33" s="292"/>
      <c r="Q33" s="292"/>
      <c r="R33" s="292"/>
    </row>
    <row r="34" spans="2:18">
      <c r="B34" s="48" t="s">
        <v>11</v>
      </c>
      <c r="C34" s="49"/>
      <c r="D34" s="169">
        <f>F34+H34+J34+K34</f>
        <v>1333405.21</v>
      </c>
      <c r="E34" s="184"/>
      <c r="F34" s="169">
        <f>305794.34+60902.17</f>
        <v>366696.51</v>
      </c>
      <c r="G34" s="184"/>
      <c r="H34" s="169">
        <f>G28</f>
        <v>146979.20000000001</v>
      </c>
      <c r="I34" s="180"/>
      <c r="J34" s="161">
        <f>176439.26+256784.51</f>
        <v>433223.77</v>
      </c>
      <c r="K34" s="162">
        <v>386505.73</v>
      </c>
      <c r="L34" s="317"/>
      <c r="M34" s="295">
        <v>80151.72</v>
      </c>
      <c r="N34" s="295">
        <v>1413556.93</v>
      </c>
      <c r="O34" s="296">
        <f>N34-M34</f>
        <v>1333405.21</v>
      </c>
      <c r="P34" s="297">
        <f>O34-D34</f>
        <v>0</v>
      </c>
    </row>
    <row r="35" spans="2:18">
      <c r="B35" s="48" t="s">
        <v>12</v>
      </c>
      <c r="C35" s="49"/>
      <c r="D35" s="169">
        <f>F35+H35+J35+K35</f>
        <v>1227589.5</v>
      </c>
      <c r="E35" s="184"/>
      <c r="F35" s="169">
        <f>284734.89+56127.35</f>
        <v>340862.24</v>
      </c>
      <c r="G35" s="184"/>
      <c r="H35" s="169">
        <v>136831.67000000001</v>
      </c>
      <c r="I35" s="180"/>
      <c r="J35" s="161">
        <f>159952.1+230770.12</f>
        <v>390722.22</v>
      </c>
      <c r="K35" s="162">
        <v>359173.37</v>
      </c>
      <c r="L35" s="317"/>
      <c r="M35" s="299">
        <v>1524.1</v>
      </c>
      <c r="N35" s="295">
        <v>1229113.6000000001</v>
      </c>
      <c r="O35" s="296">
        <f>N35-M35</f>
        <v>1227589.5</v>
      </c>
      <c r="P35" s="297">
        <f>O35-D35</f>
        <v>0</v>
      </c>
    </row>
    <row r="36" spans="2:18" ht="16.5" thickBot="1">
      <c r="B36" s="51" t="s">
        <v>91</v>
      </c>
      <c r="C36" s="52"/>
      <c r="D36" s="187">
        <f>F36+H36+J36+K36</f>
        <v>1418802.2999999998</v>
      </c>
      <c r="E36" s="189"/>
      <c r="F36" s="187">
        <f>H20+H21+H22+H23+H24+H25+H26+H27+H29</f>
        <v>357605.79999999993</v>
      </c>
      <c r="G36" s="189"/>
      <c r="H36" s="187">
        <f>H28</f>
        <v>241467</v>
      </c>
      <c r="I36" s="220"/>
      <c r="J36" s="163">
        <v>433223.77</v>
      </c>
      <c r="K36" s="164">
        <v>386505.73</v>
      </c>
      <c r="L36" s="317"/>
      <c r="M36" s="286"/>
      <c r="N36" s="286"/>
    </row>
    <row r="37" spans="2:18" ht="29.25" customHeight="1" thickBot="1">
      <c r="B37" s="53" t="s">
        <v>156</v>
      </c>
      <c r="C37" s="54"/>
      <c r="D37" s="198">
        <f>F37+H37+J37+K37</f>
        <v>-191212.79999999996</v>
      </c>
      <c r="E37" s="199"/>
      <c r="F37" s="191">
        <f>F35-F36</f>
        <v>-16743.559999999939</v>
      </c>
      <c r="G37" s="221"/>
      <c r="H37" s="191">
        <f>H35-H36</f>
        <v>-104635.32999999999</v>
      </c>
      <c r="I37" s="222"/>
      <c r="J37" s="165">
        <f>J35-J36</f>
        <v>-42501.550000000047</v>
      </c>
      <c r="K37" s="166">
        <f>K35-K36</f>
        <v>-27332.359999999986</v>
      </c>
      <c r="L37" s="327"/>
      <c r="M37" s="286"/>
      <c r="N37" s="286"/>
    </row>
    <row r="38" spans="2:18" ht="32.25" customHeight="1">
      <c r="B38" s="70" t="s">
        <v>79</v>
      </c>
      <c r="C38" s="70"/>
      <c r="D38" s="70"/>
      <c r="E38" s="197" t="s">
        <v>80</v>
      </c>
      <c r="F38" s="197"/>
      <c r="G38" s="195" t="s">
        <v>13</v>
      </c>
      <c r="H38" s="195"/>
      <c r="I38" s="167"/>
      <c r="J38" s="167"/>
      <c r="K38" s="3"/>
      <c r="L38" s="284"/>
      <c r="M38" s="284"/>
      <c r="N38" s="284"/>
      <c r="O38" s="284"/>
      <c r="P38" s="284"/>
      <c r="Q38" s="284"/>
      <c r="R38" s="284"/>
    </row>
    <row r="39" spans="2:18" ht="8.25" customHeight="1">
      <c r="B39" s="70"/>
      <c r="C39" s="70"/>
      <c r="D39" s="70"/>
      <c r="E39" s="185" t="s">
        <v>14</v>
      </c>
      <c r="F39" s="185"/>
      <c r="G39" s="196"/>
      <c r="H39" s="196"/>
      <c r="I39" s="55"/>
      <c r="J39" s="55"/>
      <c r="K39" s="3"/>
      <c r="L39" s="284"/>
      <c r="M39" s="284"/>
      <c r="N39" s="284"/>
      <c r="O39" s="284"/>
      <c r="P39" s="284"/>
      <c r="Q39" s="284"/>
      <c r="R39" s="284"/>
    </row>
    <row r="40" spans="2:18">
      <c r="B40" s="70" t="s">
        <v>81</v>
      </c>
      <c r="C40" s="70"/>
      <c r="D40" s="70"/>
      <c r="E40" s="186" t="s">
        <v>80</v>
      </c>
      <c r="F40" s="186"/>
      <c r="G40" s="195" t="s">
        <v>96</v>
      </c>
      <c r="H40" s="195"/>
      <c r="I40" s="55"/>
      <c r="J40" s="55"/>
      <c r="K40" s="3"/>
      <c r="L40" s="284"/>
      <c r="M40" s="284"/>
      <c r="N40" s="284"/>
      <c r="O40" s="284"/>
      <c r="P40" s="284"/>
      <c r="Q40" s="284"/>
      <c r="R40" s="284"/>
    </row>
    <row r="41" spans="2:18" ht="8.25" customHeight="1">
      <c r="B41" s="70"/>
      <c r="C41" s="70"/>
      <c r="D41" s="70"/>
      <c r="E41" s="185" t="s">
        <v>14</v>
      </c>
      <c r="F41" s="185"/>
      <c r="G41" s="195"/>
      <c r="H41" s="195"/>
      <c r="I41" s="55"/>
      <c r="J41" s="55"/>
    </row>
    <row r="42" spans="2:18">
      <c r="B42" s="70" t="s">
        <v>82</v>
      </c>
      <c r="C42" s="70"/>
      <c r="D42" s="70"/>
      <c r="E42" s="186" t="s">
        <v>80</v>
      </c>
      <c r="F42" s="186"/>
      <c r="G42" s="195" t="s">
        <v>98</v>
      </c>
      <c r="H42" s="195"/>
      <c r="I42" s="55"/>
      <c r="J42" s="55"/>
    </row>
    <row r="43" spans="2:18" ht="8.25" customHeight="1">
      <c r="B43" s="58"/>
      <c r="C43" s="58"/>
      <c r="D43" s="58"/>
      <c r="E43" s="185" t="s">
        <v>14</v>
      </c>
      <c r="F43" s="185"/>
      <c r="G43" s="59"/>
      <c r="H43" s="57"/>
      <c r="I43" s="60"/>
      <c r="J43" s="6"/>
    </row>
    <row r="44" spans="2:18">
      <c r="B44" s="70" t="s">
        <v>83</v>
      </c>
      <c r="C44" s="70"/>
      <c r="D44" s="70"/>
      <c r="E44" s="186" t="s">
        <v>80</v>
      </c>
      <c r="F44" s="186"/>
      <c r="G44" s="195" t="s">
        <v>142</v>
      </c>
      <c r="H44" s="195"/>
    </row>
    <row r="45" spans="2:18" ht="9" customHeight="1">
      <c r="B45" s="8"/>
      <c r="C45" s="8"/>
      <c r="D45" s="8"/>
      <c r="E45" s="185" t="s">
        <v>14</v>
      </c>
      <c r="F45" s="185"/>
      <c r="G45" s="185"/>
      <c r="H45" s="185"/>
    </row>
    <row r="46" spans="2:18">
      <c r="C46" s="12"/>
      <c r="E46" s="61"/>
      <c r="F46" s="61"/>
    </row>
    <row r="47" spans="2:18">
      <c r="C47" s="12"/>
    </row>
    <row r="48" spans="2:18">
      <c r="C48" s="12"/>
    </row>
    <row r="49" spans="3:3">
      <c r="C49" s="12"/>
    </row>
    <row r="50" spans="3:3">
      <c r="C50" s="12"/>
    </row>
    <row r="51" spans="3:3">
      <c r="C51" s="12"/>
    </row>
    <row r="52" spans="3:3">
      <c r="C52" s="12"/>
    </row>
    <row r="53" spans="3:3">
      <c r="C53" s="12"/>
    </row>
    <row r="54" spans="3:3">
      <c r="C54" s="12"/>
    </row>
    <row r="55" spans="3:3">
      <c r="C55" s="12"/>
    </row>
    <row r="56" spans="3:3">
      <c r="C56" s="12"/>
    </row>
    <row r="57" spans="3:3">
      <c r="C57" s="12"/>
    </row>
    <row r="58" spans="3:3">
      <c r="C58" s="12"/>
    </row>
    <row r="59" spans="3:3">
      <c r="C59" s="12"/>
    </row>
    <row r="60" spans="3:3">
      <c r="C60" s="12"/>
    </row>
    <row r="61" spans="3:3">
      <c r="C61" s="12"/>
    </row>
    <row r="62" spans="3:3">
      <c r="C62" s="12"/>
    </row>
    <row r="63" spans="3:3">
      <c r="C63" s="12"/>
    </row>
    <row r="64" spans="3:3">
      <c r="C64" s="12"/>
    </row>
    <row r="65" spans="3:3">
      <c r="C65" s="12"/>
    </row>
    <row r="66" spans="3:3">
      <c r="C66" s="12"/>
    </row>
    <row r="67" spans="3:3">
      <c r="C67" s="12"/>
    </row>
    <row r="68" spans="3:3">
      <c r="C68" s="12"/>
    </row>
    <row r="69" spans="3:3">
      <c r="C69" s="12"/>
    </row>
    <row r="70" spans="3:3">
      <c r="C70" s="12"/>
    </row>
    <row r="71" spans="3:3">
      <c r="C71" s="12"/>
    </row>
    <row r="72" spans="3:3">
      <c r="C72" s="12"/>
    </row>
    <row r="73" spans="3:3">
      <c r="C73" s="12"/>
    </row>
    <row r="74" spans="3:3">
      <c r="C74" s="12"/>
    </row>
    <row r="75" spans="3:3">
      <c r="C75" s="12"/>
    </row>
  </sheetData>
  <mergeCells count="46">
    <mergeCell ref="B1:K1"/>
    <mergeCell ref="B2:K2"/>
    <mergeCell ref="B3:K3"/>
    <mergeCell ref="B4:K4"/>
    <mergeCell ref="E44:F44"/>
    <mergeCell ref="G44:H44"/>
    <mergeCell ref="I18:I19"/>
    <mergeCell ref="D9:F9"/>
    <mergeCell ref="H34:I34"/>
    <mergeCell ref="D33:E33"/>
    <mergeCell ref="D34:E34"/>
    <mergeCell ref="H35:I35"/>
    <mergeCell ref="D35:E35"/>
    <mergeCell ref="E38:F38"/>
    <mergeCell ref="G38:H38"/>
    <mergeCell ref="F37:G37"/>
    <mergeCell ref="E45:F45"/>
    <mergeCell ref="G45:H45"/>
    <mergeCell ref="D16:E16"/>
    <mergeCell ref="F35:G35"/>
    <mergeCell ref="F36:G36"/>
    <mergeCell ref="B32:K32"/>
    <mergeCell ref="F33:G33"/>
    <mergeCell ref="H33:I33"/>
    <mergeCell ref="B17:I17"/>
    <mergeCell ref="B18:B19"/>
    <mergeCell ref="C18:C19"/>
    <mergeCell ref="D18:D19"/>
    <mergeCell ref="E18:E19"/>
    <mergeCell ref="F18:F19"/>
    <mergeCell ref="G18:H18"/>
    <mergeCell ref="F34:G34"/>
    <mergeCell ref="D36:E36"/>
    <mergeCell ref="D37:E37"/>
    <mergeCell ref="B6:I7"/>
    <mergeCell ref="E43:F43"/>
    <mergeCell ref="E41:F41"/>
    <mergeCell ref="G41:H41"/>
    <mergeCell ref="E42:F42"/>
    <mergeCell ref="G42:H42"/>
    <mergeCell ref="E39:F39"/>
    <mergeCell ref="G39:H39"/>
    <mergeCell ref="E40:F40"/>
    <mergeCell ref="G40:H40"/>
    <mergeCell ref="H36:I36"/>
    <mergeCell ref="H37:I37"/>
  </mergeCells>
  <printOptions horizontalCentered="1"/>
  <pageMargins left="0.19685039370078741" right="0.19685039370078741" top="0.15748031496062992" bottom="0.23622047244094491" header="0.16" footer="0.24"/>
  <pageSetup paperSize="9" scale="41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B1:Q68"/>
  <sheetViews>
    <sheetView zoomScale="110" zoomScaleNormal="110" workbookViewId="0">
      <selection activeCell="K21" sqref="K21"/>
    </sheetView>
  </sheetViews>
  <sheetFormatPr defaultColWidth="9.140625" defaultRowHeight="15.75" outlineLevelRow="1"/>
  <cols>
    <col min="1" max="1" width="2.85546875" style="2" customWidth="1"/>
    <col min="2" max="2" width="55.7109375" style="2" customWidth="1"/>
    <col min="3" max="3" width="12.85546875" style="4" customWidth="1"/>
    <col min="4" max="4" width="9.28515625" style="4" customWidth="1"/>
    <col min="5" max="5" width="10.140625" style="4" customWidth="1"/>
    <col min="6" max="6" width="9.42578125" style="4" customWidth="1"/>
    <col min="7" max="7" width="10.42578125" style="2" customWidth="1"/>
    <col min="8" max="8" width="10.28515625" style="2" customWidth="1"/>
    <col min="9" max="9" width="11" style="2" customWidth="1"/>
    <col min="10" max="11" width="12" style="274" customWidth="1"/>
    <col min="12" max="13" width="9.140625" style="274"/>
    <col min="14" max="15" width="14.140625" style="274" customWidth="1"/>
    <col min="16" max="16" width="14.7109375" style="274" customWidth="1"/>
    <col min="17" max="17" width="14.85546875" style="274" customWidth="1"/>
    <col min="18" max="16384" width="9.140625" style="2"/>
  </cols>
  <sheetData>
    <row r="1" spans="2:11">
      <c r="B1" s="168" t="s">
        <v>138</v>
      </c>
      <c r="C1" s="168"/>
      <c r="D1" s="168"/>
      <c r="E1" s="168"/>
      <c r="F1" s="168"/>
      <c r="G1" s="168"/>
      <c r="H1" s="168"/>
      <c r="I1" s="168"/>
    </row>
    <row r="2" spans="2:11">
      <c r="B2" s="168" t="s">
        <v>139</v>
      </c>
      <c r="C2" s="168"/>
      <c r="D2" s="168"/>
      <c r="E2" s="168"/>
      <c r="F2" s="168"/>
      <c r="G2" s="168"/>
      <c r="H2" s="168"/>
      <c r="I2" s="168"/>
    </row>
    <row r="3" spans="2:11">
      <c r="B3" s="168" t="s">
        <v>140</v>
      </c>
      <c r="C3" s="168"/>
      <c r="D3" s="168"/>
      <c r="E3" s="168"/>
      <c r="F3" s="168"/>
      <c r="G3" s="168"/>
      <c r="H3" s="168"/>
      <c r="I3" s="168"/>
    </row>
    <row r="4" spans="2:11">
      <c r="B4" s="168" t="s">
        <v>148</v>
      </c>
      <c r="C4" s="168"/>
      <c r="D4" s="168"/>
      <c r="E4" s="168"/>
      <c r="F4" s="168"/>
      <c r="G4" s="168"/>
      <c r="H4" s="168"/>
      <c r="I4" s="168"/>
    </row>
    <row r="5" spans="2:11" ht="7.5" customHeight="1">
      <c r="B5" s="66"/>
      <c r="C5" s="66"/>
      <c r="D5" s="66"/>
      <c r="E5" s="66"/>
      <c r="F5" s="66"/>
      <c r="G5" s="66"/>
      <c r="H5" s="66"/>
      <c r="I5" s="66"/>
    </row>
    <row r="6" spans="2:11" ht="19.5" customHeight="1">
      <c r="B6" s="200" t="s">
        <v>141</v>
      </c>
      <c r="C6" s="200"/>
      <c r="D6" s="200"/>
      <c r="E6" s="200"/>
      <c r="F6" s="200"/>
      <c r="G6" s="200"/>
      <c r="H6" s="200"/>
      <c r="I6" s="200"/>
      <c r="J6" s="328"/>
      <c r="K6" s="328"/>
    </row>
    <row r="7" spans="2:11" ht="20.25" customHeight="1">
      <c r="B7" s="200"/>
      <c r="C7" s="200"/>
      <c r="D7" s="200"/>
      <c r="E7" s="200"/>
      <c r="F7" s="200"/>
      <c r="G7" s="200"/>
      <c r="H7" s="200"/>
      <c r="I7" s="200"/>
      <c r="J7" s="328"/>
      <c r="K7" s="328"/>
    </row>
    <row r="8" spans="2:11" ht="8.25" customHeight="1"/>
    <row r="9" spans="2:11">
      <c r="B9" s="6" t="s">
        <v>0</v>
      </c>
      <c r="C9" s="60"/>
      <c r="D9" s="207" t="s">
        <v>70</v>
      </c>
      <c r="E9" s="207"/>
      <c r="F9" s="207"/>
    </row>
    <row r="10" spans="2:11">
      <c r="B10" s="6" t="s">
        <v>1</v>
      </c>
      <c r="C10" s="60"/>
      <c r="D10" s="63">
        <v>1971</v>
      </c>
      <c r="E10" s="63"/>
      <c r="F10" s="63"/>
    </row>
    <row r="11" spans="2:11" hidden="1" outlineLevel="1">
      <c r="B11" s="6" t="s">
        <v>2</v>
      </c>
      <c r="C11" s="60"/>
      <c r="D11" s="63">
        <v>4</v>
      </c>
      <c r="E11" s="63"/>
      <c r="F11" s="63"/>
    </row>
    <row r="12" spans="2:11" hidden="1" outlineLevel="1">
      <c r="B12" s="6" t="s">
        <v>3</v>
      </c>
      <c r="C12" s="60"/>
      <c r="D12" s="63">
        <v>33</v>
      </c>
      <c r="E12" s="63"/>
      <c r="F12" s="63"/>
    </row>
    <row r="13" spans="2:11" ht="30.75" hidden="1" customHeight="1" outlineLevel="1">
      <c r="B13" s="64" t="s">
        <v>4</v>
      </c>
      <c r="C13" s="84"/>
      <c r="D13" s="63" t="s">
        <v>71</v>
      </c>
      <c r="E13" s="63"/>
      <c r="F13" s="63"/>
    </row>
    <row r="14" spans="2:11" collapsed="1">
      <c r="B14" s="6" t="s">
        <v>5</v>
      </c>
      <c r="C14" s="60"/>
      <c r="D14" s="63" t="s">
        <v>162</v>
      </c>
      <c r="E14" s="63"/>
      <c r="F14" s="63"/>
    </row>
    <row r="15" spans="2:11" hidden="1" outlineLevel="1">
      <c r="B15" s="2" t="s">
        <v>6</v>
      </c>
      <c r="D15" s="13" t="s">
        <v>72</v>
      </c>
      <c r="E15" s="13"/>
      <c r="F15" s="13"/>
    </row>
    <row r="16" spans="2:11" ht="30.75" hidden="1" customHeight="1" outlineLevel="1">
      <c r="B16" s="14" t="s">
        <v>8</v>
      </c>
      <c r="C16" s="83"/>
      <c r="D16" s="208" t="s">
        <v>73</v>
      </c>
      <c r="E16" s="208"/>
      <c r="F16" s="13"/>
    </row>
    <row r="17" spans="2:17" ht="18.75" customHeight="1" collapsed="1" thickBot="1">
      <c r="B17" s="215" t="s">
        <v>144</v>
      </c>
      <c r="C17" s="215"/>
      <c r="D17" s="215"/>
      <c r="E17" s="215"/>
      <c r="F17" s="215"/>
      <c r="G17" s="215"/>
      <c r="H17" s="215"/>
      <c r="I17" s="215"/>
      <c r="J17" s="329"/>
      <c r="K17" s="329"/>
      <c r="M17" s="276"/>
      <c r="N17" s="277" t="s">
        <v>99</v>
      </c>
      <c r="O17" s="277" t="s">
        <v>100</v>
      </c>
      <c r="P17" s="277" t="s">
        <v>101</v>
      </c>
      <c r="Q17" s="277" t="s">
        <v>102</v>
      </c>
    </row>
    <row r="18" spans="2:17" ht="37.5" customHeight="1">
      <c r="B18" s="224" t="s">
        <v>97</v>
      </c>
      <c r="C18" s="218" t="s">
        <v>103</v>
      </c>
      <c r="D18" s="218" t="s">
        <v>121</v>
      </c>
      <c r="E18" s="175" t="s">
        <v>147</v>
      </c>
      <c r="F18" s="210" t="s">
        <v>146</v>
      </c>
      <c r="G18" s="213" t="s">
        <v>104</v>
      </c>
      <c r="H18" s="214"/>
      <c r="I18" s="201" t="s">
        <v>151</v>
      </c>
      <c r="J18" s="330"/>
      <c r="K18" s="330"/>
      <c r="M18" s="276"/>
      <c r="N18" s="277"/>
      <c r="O18" s="277"/>
      <c r="P18" s="277"/>
      <c r="Q18" s="277"/>
    </row>
    <row r="19" spans="2:17" ht="41.25" customHeight="1" thickBot="1">
      <c r="B19" s="225"/>
      <c r="C19" s="219"/>
      <c r="D19" s="219"/>
      <c r="E19" s="176"/>
      <c r="F19" s="211"/>
      <c r="G19" s="16" t="s">
        <v>84</v>
      </c>
      <c r="H19" s="17" t="s">
        <v>85</v>
      </c>
      <c r="I19" s="202"/>
      <c r="J19" s="330"/>
      <c r="K19" s="330"/>
      <c r="N19" s="278">
        <v>88697.03</v>
      </c>
      <c r="O19" s="278">
        <f>177390.67-N19</f>
        <v>88693.640000000014</v>
      </c>
      <c r="P19" s="278">
        <v>81663.56</v>
      </c>
      <c r="Q19" s="278">
        <v>93075.56</v>
      </c>
    </row>
    <row r="20" spans="2:17" ht="54.75" customHeight="1">
      <c r="B20" s="18" t="s">
        <v>89</v>
      </c>
      <c r="C20" s="19" t="s">
        <v>105</v>
      </c>
      <c r="D20" s="20" t="s">
        <v>106</v>
      </c>
      <c r="E20" s="21">
        <v>1.05</v>
      </c>
      <c r="F20" s="21">
        <v>1.06</v>
      </c>
      <c r="G20" s="22">
        <f>($N$19/$N$20*E20)+($O$19/$O$20*F20)</f>
        <v>18658.737776669994</v>
      </c>
      <c r="H20" s="23">
        <f>($P$19/$P$20*E20)+($Q$19/$Q$20*F20)</f>
        <v>18385.526580259226</v>
      </c>
      <c r="I20" s="24">
        <f>G20-H20</f>
        <v>273.21119641076803</v>
      </c>
      <c r="J20" s="331"/>
      <c r="K20" s="331"/>
      <c r="L20" s="280"/>
      <c r="M20" s="281"/>
      <c r="N20" s="282">
        <f>E31-E29-E27</f>
        <v>10.030000000000001</v>
      </c>
      <c r="O20" s="282">
        <f>F31-F29-F27</f>
        <v>10.029999999999998</v>
      </c>
      <c r="P20" s="282">
        <f>E31-E29-E27</f>
        <v>10.030000000000001</v>
      </c>
      <c r="Q20" s="282">
        <f>F31-F29-F27</f>
        <v>10.029999999999998</v>
      </c>
    </row>
    <row r="21" spans="2:17" ht="51">
      <c r="B21" s="26" t="s">
        <v>93</v>
      </c>
      <c r="C21" s="19" t="s">
        <v>105</v>
      </c>
      <c r="D21" s="20" t="s">
        <v>106</v>
      </c>
      <c r="E21" s="27">
        <v>1.17</v>
      </c>
      <c r="F21" s="27">
        <v>1.19</v>
      </c>
      <c r="G21" s="22">
        <f t="shared" ref="G21:G30" si="0">($N$19/$N$20*E21)+($O$19/$O$20*F21)</f>
        <v>20869.487208374878</v>
      </c>
      <c r="H21" s="23">
        <f t="shared" ref="H21:H25" si="1">($P$19/$P$20*E21)+($Q$19/$Q$20*F21)</f>
        <v>20568.921395812562</v>
      </c>
      <c r="I21" s="24">
        <f t="shared" ref="I21:I28" si="2">G21-H21</f>
        <v>300.56581256231584</v>
      </c>
      <c r="J21" s="331"/>
      <c r="K21" s="331"/>
      <c r="L21" s="284"/>
      <c r="M21" s="284"/>
      <c r="N21" s="285"/>
      <c r="O21" s="284"/>
      <c r="P21" s="284"/>
      <c r="Q21" s="284"/>
    </row>
    <row r="22" spans="2:17" ht="52.5" customHeight="1">
      <c r="B22" s="30" t="s">
        <v>86</v>
      </c>
      <c r="C22" s="19" t="s">
        <v>105</v>
      </c>
      <c r="D22" s="20" t="s">
        <v>106</v>
      </c>
      <c r="E22" s="27">
        <v>0.27</v>
      </c>
      <c r="F22" s="27">
        <v>0.32</v>
      </c>
      <c r="G22" s="22">
        <f t="shared" si="0"/>
        <v>5217.3641974077782</v>
      </c>
      <c r="H22" s="23">
        <f t="shared" si="1"/>
        <v>5167.8305483549357</v>
      </c>
      <c r="I22" s="24">
        <f t="shared" si="2"/>
        <v>49.53364905284252</v>
      </c>
      <c r="J22" s="331"/>
      <c r="K22" s="331"/>
      <c r="M22" s="276"/>
    </row>
    <row r="23" spans="2:17">
      <c r="B23" s="30" t="s">
        <v>184</v>
      </c>
      <c r="C23" s="19" t="s">
        <v>183</v>
      </c>
      <c r="D23" s="20" t="s">
        <v>106</v>
      </c>
      <c r="E23" s="27"/>
      <c r="F23" s="27"/>
      <c r="G23" s="22"/>
      <c r="H23" s="23">
        <v>12110</v>
      </c>
      <c r="I23" s="24">
        <f t="shared" si="2"/>
        <v>-12110</v>
      </c>
      <c r="J23" s="331"/>
      <c r="K23" s="331"/>
      <c r="M23" s="276"/>
    </row>
    <row r="24" spans="2:17" ht="25.5">
      <c r="B24" s="30" t="s">
        <v>87</v>
      </c>
      <c r="C24" s="32" t="s">
        <v>107</v>
      </c>
      <c r="D24" s="20" t="s">
        <v>106</v>
      </c>
      <c r="E24" s="27">
        <v>0.23</v>
      </c>
      <c r="F24" s="27">
        <v>0.23</v>
      </c>
      <c r="G24" s="22">
        <f t="shared" si="0"/>
        <v>4067.782063808575</v>
      </c>
      <c r="H24" s="23">
        <f t="shared" si="1"/>
        <v>4006.9788235294118</v>
      </c>
      <c r="I24" s="24">
        <f t="shared" si="2"/>
        <v>60.803240279163219</v>
      </c>
      <c r="J24" s="331"/>
      <c r="K24" s="331"/>
      <c r="M24" s="276"/>
    </row>
    <row r="25" spans="2:17" ht="51">
      <c r="B25" s="26" t="s">
        <v>90</v>
      </c>
      <c r="C25" s="19" t="s">
        <v>170</v>
      </c>
      <c r="D25" s="20" t="s">
        <v>106</v>
      </c>
      <c r="E25" s="27">
        <v>1.33</v>
      </c>
      <c r="F25" s="27">
        <v>1.18</v>
      </c>
      <c r="G25" s="22">
        <f t="shared" si="0"/>
        <v>22195.966610169497</v>
      </c>
      <c r="H25" s="23">
        <f t="shared" si="1"/>
        <v>21778.833060817549</v>
      </c>
      <c r="I25" s="24">
        <f t="shared" si="2"/>
        <v>417.13354935194729</v>
      </c>
      <c r="J25" s="331"/>
      <c r="K25" s="331"/>
    </row>
    <row r="26" spans="2:17" ht="220.5" customHeight="1">
      <c r="B26" s="26" t="s">
        <v>145</v>
      </c>
      <c r="C26" s="19" t="s">
        <v>109</v>
      </c>
      <c r="D26" s="20" t="s">
        <v>106</v>
      </c>
      <c r="E26" s="27">
        <v>5.6</v>
      </c>
      <c r="F26" s="27">
        <v>5.61</v>
      </c>
      <c r="G26" s="22">
        <f t="shared" si="0"/>
        <v>99130.078604187467</v>
      </c>
      <c r="H26" s="23">
        <f>($P$19/$P$20*E26)+($Q$19/$Q$20*F26)+1600</f>
        <v>99254.020697906279</v>
      </c>
      <c r="I26" s="24">
        <f t="shared" si="2"/>
        <v>-123.94209371881152</v>
      </c>
      <c r="J26" s="331"/>
      <c r="K26" s="331"/>
      <c r="L26" s="284"/>
      <c r="M26" s="285"/>
      <c r="N26" s="284"/>
      <c r="O26" s="284"/>
      <c r="P26" s="284"/>
      <c r="Q26" s="284"/>
    </row>
    <row r="27" spans="2:17" ht="29.25" customHeight="1">
      <c r="B27" s="30" t="s">
        <v>108</v>
      </c>
      <c r="C27" s="19" t="s">
        <v>107</v>
      </c>
      <c r="D27" s="20" t="s">
        <v>106</v>
      </c>
      <c r="E27" s="27">
        <v>2</v>
      </c>
      <c r="F27" s="27">
        <v>2</v>
      </c>
      <c r="G27" s="22">
        <v>35371.199999999997</v>
      </c>
      <c r="H27" s="28">
        <v>33431.629999999997</v>
      </c>
      <c r="I27" s="24">
        <f>H27-G27</f>
        <v>-1939.5699999999997</v>
      </c>
      <c r="J27" s="331"/>
      <c r="K27" s="331"/>
    </row>
    <row r="28" spans="2:17" ht="102">
      <c r="B28" s="26" t="s">
        <v>111</v>
      </c>
      <c r="C28" s="19" t="s">
        <v>105</v>
      </c>
      <c r="D28" s="20" t="s">
        <v>106</v>
      </c>
      <c r="E28" s="27">
        <v>0.21</v>
      </c>
      <c r="F28" s="27">
        <v>0.24</v>
      </c>
      <c r="G28" s="22">
        <f t="shared" si="0"/>
        <v>3979.3469491525429</v>
      </c>
      <c r="H28" s="23">
        <f>($P$19/$P$20*E28)+($Q$19/$Q$20*F28)</f>
        <v>3936.9373878364904</v>
      </c>
      <c r="I28" s="24">
        <f t="shared" si="2"/>
        <v>42.409561316052532</v>
      </c>
      <c r="J28" s="331"/>
      <c r="K28" s="331"/>
    </row>
    <row r="29" spans="2:17" ht="51.75" customHeight="1">
      <c r="B29" s="30" t="s">
        <v>94</v>
      </c>
      <c r="C29" s="19" t="s">
        <v>105</v>
      </c>
      <c r="D29" s="20" t="s">
        <v>106</v>
      </c>
      <c r="E29" s="27">
        <v>4.82</v>
      </c>
      <c r="F29" s="27">
        <v>4.82</v>
      </c>
      <c r="G29" s="22">
        <v>85246.57</v>
      </c>
      <c r="H29" s="28">
        <v>122482</v>
      </c>
      <c r="I29" s="24">
        <f>G29-H29</f>
        <v>-37235.429999999993</v>
      </c>
      <c r="J29" s="331"/>
      <c r="K29" s="331"/>
      <c r="M29" s="276"/>
    </row>
    <row r="30" spans="2:17" ht="16.5" thickBot="1">
      <c r="B30" s="69" t="s">
        <v>88</v>
      </c>
      <c r="C30" s="34" t="s">
        <v>109</v>
      </c>
      <c r="D30" s="35" t="s">
        <v>106</v>
      </c>
      <c r="E30" s="36">
        <v>0.17</v>
      </c>
      <c r="F30" s="36">
        <v>0.2</v>
      </c>
      <c r="G30" s="37">
        <f t="shared" si="0"/>
        <v>3271.9065902293132</v>
      </c>
      <c r="H30" s="73">
        <f t="shared" ref="H30" si="3">($P$19/$P$20*E30)+($Q$19/$Q$20*F30)</f>
        <v>3240.07150548355</v>
      </c>
      <c r="I30" s="24">
        <f>G30-H30</f>
        <v>31.835084745763197</v>
      </c>
      <c r="J30" s="331"/>
      <c r="K30" s="331"/>
    </row>
    <row r="31" spans="2:17" ht="16.5" thickBot="1">
      <c r="B31" s="39" t="s">
        <v>92</v>
      </c>
      <c r="C31" s="40"/>
      <c r="D31" s="40"/>
      <c r="E31" s="41">
        <f>SUM(E20:E30)</f>
        <v>16.850000000000001</v>
      </c>
      <c r="F31" s="42">
        <f>SUM(F20:F30)</f>
        <v>16.849999999999998</v>
      </c>
      <c r="G31" s="43">
        <f>SUM(G20:G30)</f>
        <v>298008.44000000006</v>
      </c>
      <c r="H31" s="44">
        <f>SUM(H20:H30)</f>
        <v>344362.74999999994</v>
      </c>
      <c r="I31" s="45">
        <f>SUM(I20:I30)</f>
        <v>-50233.449999999953</v>
      </c>
      <c r="J31" s="332"/>
      <c r="K31" s="332"/>
    </row>
    <row r="32" spans="2:17">
      <c r="B32" s="5"/>
      <c r="C32" s="5"/>
      <c r="D32" s="5"/>
      <c r="E32" s="12"/>
      <c r="F32" s="12"/>
      <c r="G32" s="12"/>
      <c r="H32" s="12"/>
      <c r="I32" s="4"/>
      <c r="J32" s="292"/>
      <c r="K32" s="292"/>
    </row>
    <row r="33" spans="2:17" ht="16.5" customHeight="1" thickBot="1">
      <c r="B33" s="177" t="s">
        <v>143</v>
      </c>
      <c r="C33" s="177"/>
      <c r="D33" s="177"/>
      <c r="E33" s="177"/>
      <c r="F33" s="177"/>
      <c r="G33" s="177"/>
      <c r="H33" s="177"/>
      <c r="I33" s="177"/>
      <c r="J33" s="333"/>
      <c r="K33" s="333"/>
    </row>
    <row r="34" spans="2:17" ht="53.25" customHeight="1">
      <c r="B34" s="46"/>
      <c r="C34" s="47"/>
      <c r="D34" s="182" t="s">
        <v>110</v>
      </c>
      <c r="E34" s="183"/>
      <c r="F34" s="171" t="s">
        <v>9</v>
      </c>
      <c r="G34" s="172"/>
      <c r="H34" s="171" t="s">
        <v>182</v>
      </c>
      <c r="I34" s="223"/>
      <c r="J34" s="334"/>
      <c r="K34" s="334"/>
      <c r="L34" s="290" t="s">
        <v>152</v>
      </c>
      <c r="M34" s="291"/>
      <c r="N34" s="292"/>
      <c r="O34" s="292"/>
      <c r="P34" s="292"/>
      <c r="Q34" s="292"/>
    </row>
    <row r="35" spans="2:17" ht="21" customHeight="1">
      <c r="B35" s="48" t="s">
        <v>11</v>
      </c>
      <c r="C35" s="49"/>
      <c r="D35" s="169">
        <f>F35+H35</f>
        <v>298003.44</v>
      </c>
      <c r="E35" s="184"/>
      <c r="F35" s="169">
        <f>177390.67+35371.2-5</f>
        <v>212756.87</v>
      </c>
      <c r="G35" s="184"/>
      <c r="H35" s="169">
        <f>G29</f>
        <v>85246.57</v>
      </c>
      <c r="I35" s="180"/>
      <c r="J35" s="335"/>
      <c r="K35" s="335"/>
      <c r="L35" s="295">
        <v>21365.43</v>
      </c>
      <c r="M35" s="295">
        <v>319368.87</v>
      </c>
      <c r="N35" s="296">
        <f>M35-L35</f>
        <v>298003.44</v>
      </c>
      <c r="O35" s="297">
        <f>N35-D35</f>
        <v>0</v>
      </c>
    </row>
    <row r="36" spans="2:17">
      <c r="B36" s="48" t="s">
        <v>12</v>
      </c>
      <c r="C36" s="49"/>
      <c r="D36" s="169">
        <f>F36+H36</f>
        <v>280598.47000000003</v>
      </c>
      <c r="E36" s="184"/>
      <c r="F36" s="169">
        <f>166941.6+33431.63</f>
        <v>200373.23</v>
      </c>
      <c r="G36" s="184"/>
      <c r="H36" s="169">
        <v>80225.240000000005</v>
      </c>
      <c r="I36" s="180"/>
      <c r="J36" s="335"/>
      <c r="K36" s="335"/>
      <c r="L36" s="299">
        <v>2179.73</v>
      </c>
      <c r="M36" s="295">
        <v>282778.2</v>
      </c>
      <c r="N36" s="296">
        <f>M36-L36</f>
        <v>280598.47000000003</v>
      </c>
      <c r="O36" s="297">
        <f>N36-D36</f>
        <v>0</v>
      </c>
    </row>
    <row r="37" spans="2:17" ht="16.5" thickBot="1">
      <c r="B37" s="51" t="s">
        <v>91</v>
      </c>
      <c r="C37" s="52"/>
      <c r="D37" s="187">
        <f>F37+H37</f>
        <v>344362.75</v>
      </c>
      <c r="E37" s="189"/>
      <c r="F37" s="269">
        <f>H20+H21+H22+H24+H25+H26+H27+H28+H30</f>
        <v>209770.75</v>
      </c>
      <c r="G37" s="270"/>
      <c r="H37" s="269">
        <f>H29+H23</f>
        <v>134592</v>
      </c>
      <c r="I37" s="272"/>
      <c r="J37" s="335"/>
      <c r="K37" s="335"/>
      <c r="L37" s="286"/>
      <c r="M37" s="286"/>
    </row>
    <row r="38" spans="2:17" ht="30.75" customHeight="1" thickBot="1">
      <c r="B38" s="53" t="s">
        <v>156</v>
      </c>
      <c r="C38" s="54"/>
      <c r="D38" s="198">
        <f>F38+H38</f>
        <v>-63764.279999999984</v>
      </c>
      <c r="E38" s="199"/>
      <c r="F38" s="191">
        <f>F36-F37</f>
        <v>-9397.5199999999895</v>
      </c>
      <c r="G38" s="221"/>
      <c r="H38" s="267">
        <f>H36-H37</f>
        <v>-54366.759999999995</v>
      </c>
      <c r="I38" s="268"/>
      <c r="J38" s="335"/>
      <c r="K38" s="335"/>
      <c r="L38" s="286"/>
      <c r="M38" s="286"/>
    </row>
    <row r="39" spans="2:17" ht="30" customHeight="1">
      <c r="B39" s="70" t="s">
        <v>79</v>
      </c>
      <c r="C39" s="70"/>
      <c r="D39" s="70"/>
      <c r="E39" s="271" t="s">
        <v>80</v>
      </c>
      <c r="F39" s="271"/>
      <c r="G39" s="195" t="s">
        <v>13</v>
      </c>
      <c r="H39" s="195"/>
      <c r="I39" s="70"/>
      <c r="J39" s="336"/>
      <c r="K39" s="336"/>
      <c r="L39" s="284"/>
      <c r="M39" s="284"/>
      <c r="N39" s="284"/>
      <c r="O39" s="284"/>
      <c r="P39" s="284"/>
      <c r="Q39" s="284"/>
    </row>
    <row r="40" spans="2:17" ht="9" customHeight="1">
      <c r="B40" s="70"/>
      <c r="C40" s="70"/>
      <c r="D40" s="70"/>
      <c r="E40" s="185" t="s">
        <v>14</v>
      </c>
      <c r="F40" s="185"/>
      <c r="G40" s="196"/>
      <c r="H40" s="196"/>
      <c r="I40" s="82"/>
      <c r="J40" s="337"/>
      <c r="K40" s="337"/>
      <c r="L40" s="284"/>
      <c r="M40" s="284"/>
      <c r="N40" s="284"/>
      <c r="O40" s="284"/>
      <c r="P40" s="284"/>
      <c r="Q40" s="284"/>
    </row>
    <row r="41" spans="2:17">
      <c r="B41" s="70" t="s">
        <v>81</v>
      </c>
      <c r="C41" s="70"/>
      <c r="D41" s="70"/>
      <c r="E41" s="186" t="s">
        <v>80</v>
      </c>
      <c r="F41" s="186"/>
      <c r="G41" s="195" t="s">
        <v>96</v>
      </c>
      <c r="H41" s="195"/>
      <c r="I41" s="70"/>
      <c r="J41" s="336"/>
      <c r="K41" s="336"/>
      <c r="L41" s="284"/>
      <c r="M41" s="284"/>
      <c r="N41" s="284"/>
      <c r="O41" s="284"/>
      <c r="P41" s="284"/>
      <c r="Q41" s="284"/>
    </row>
    <row r="42" spans="2:17" ht="11.25" customHeight="1">
      <c r="B42" s="70"/>
      <c r="C42" s="70"/>
      <c r="D42" s="70"/>
      <c r="E42" s="185" t="s">
        <v>14</v>
      </c>
      <c r="F42" s="185"/>
      <c r="G42" s="195"/>
      <c r="H42" s="195"/>
      <c r="I42" s="70"/>
      <c r="J42" s="336"/>
      <c r="K42" s="336"/>
    </row>
    <row r="43" spans="2:17">
      <c r="B43" s="70" t="s">
        <v>82</v>
      </c>
      <c r="C43" s="70"/>
      <c r="D43" s="70"/>
      <c r="E43" s="186" t="s">
        <v>80</v>
      </c>
      <c r="F43" s="186"/>
      <c r="G43" s="195" t="s">
        <v>98</v>
      </c>
      <c r="H43" s="195"/>
      <c r="I43" s="70"/>
      <c r="J43" s="336"/>
      <c r="K43" s="336"/>
    </row>
    <row r="44" spans="2:17" ht="11.25" customHeight="1">
      <c r="B44" s="58"/>
      <c r="C44" s="58"/>
      <c r="D44" s="58"/>
      <c r="E44" s="185" t="s">
        <v>14</v>
      </c>
      <c r="F44" s="185"/>
      <c r="G44" s="59"/>
      <c r="H44" s="57"/>
      <c r="I44" s="60"/>
      <c r="J44" s="313"/>
      <c r="K44" s="313"/>
    </row>
    <row r="45" spans="2:17">
      <c r="B45" s="70" t="s">
        <v>83</v>
      </c>
      <c r="C45" s="70"/>
      <c r="D45" s="70"/>
      <c r="E45" s="186" t="s">
        <v>80</v>
      </c>
      <c r="F45" s="186"/>
      <c r="G45" s="195" t="s">
        <v>142</v>
      </c>
      <c r="H45" s="195"/>
    </row>
    <row r="46" spans="2:17" ht="12" customHeight="1">
      <c r="B46" s="8"/>
      <c r="C46" s="8"/>
      <c r="D46" s="8"/>
      <c r="E46" s="185" t="s">
        <v>14</v>
      </c>
      <c r="F46" s="185"/>
      <c r="G46" s="185"/>
      <c r="H46" s="185"/>
    </row>
    <row r="47" spans="2:17">
      <c r="B47" s="8"/>
      <c r="C47" s="77"/>
      <c r="D47" s="78"/>
      <c r="E47" s="79"/>
      <c r="F47" s="79"/>
      <c r="G47" s="8"/>
      <c r="H47" s="8"/>
    </row>
    <row r="48" spans="2:17">
      <c r="C48" s="12"/>
    </row>
    <row r="49" spans="3:3">
      <c r="C49" s="12"/>
    </row>
    <row r="50" spans="3:3">
      <c r="C50" s="12"/>
    </row>
    <row r="51" spans="3:3">
      <c r="C51" s="12"/>
    </row>
    <row r="52" spans="3:3">
      <c r="C52" s="12"/>
    </row>
    <row r="53" spans="3:3">
      <c r="C53" s="12"/>
    </row>
    <row r="54" spans="3:3">
      <c r="C54" s="12"/>
    </row>
    <row r="55" spans="3:3">
      <c r="C55" s="12"/>
    </row>
    <row r="56" spans="3:3">
      <c r="C56" s="12"/>
    </row>
    <row r="57" spans="3:3">
      <c r="C57" s="12"/>
    </row>
    <row r="58" spans="3:3">
      <c r="C58" s="12"/>
    </row>
    <row r="59" spans="3:3">
      <c r="C59" s="12"/>
    </row>
    <row r="60" spans="3:3">
      <c r="C60" s="12"/>
    </row>
    <row r="61" spans="3:3">
      <c r="C61" s="12"/>
    </row>
    <row r="62" spans="3:3">
      <c r="C62" s="12"/>
    </row>
    <row r="63" spans="3:3">
      <c r="C63" s="12"/>
    </row>
    <row r="64" spans="3:3">
      <c r="C64" s="12"/>
    </row>
    <row r="65" spans="3:3">
      <c r="C65" s="12"/>
    </row>
    <row r="66" spans="3:3">
      <c r="C66" s="12"/>
    </row>
    <row r="67" spans="3:3">
      <c r="C67" s="12"/>
    </row>
    <row r="68" spans="3:3">
      <c r="C68" s="12"/>
    </row>
  </sheetData>
  <mergeCells count="46">
    <mergeCell ref="B1:I1"/>
    <mergeCell ref="D34:E34"/>
    <mergeCell ref="D35:E35"/>
    <mergeCell ref="D36:E36"/>
    <mergeCell ref="D37:E37"/>
    <mergeCell ref="B6:I7"/>
    <mergeCell ref="D18:D19"/>
    <mergeCell ref="E18:E19"/>
    <mergeCell ref="F18:F19"/>
    <mergeCell ref="G18:H18"/>
    <mergeCell ref="I18:I19"/>
    <mergeCell ref="F34:G34"/>
    <mergeCell ref="H34:I34"/>
    <mergeCell ref="F35:G35"/>
    <mergeCell ref="H35:I35"/>
    <mergeCell ref="H36:I36"/>
    <mergeCell ref="E46:F46"/>
    <mergeCell ref="G46:H46"/>
    <mergeCell ref="D9:F9"/>
    <mergeCell ref="D16:E16"/>
    <mergeCell ref="B33:I33"/>
    <mergeCell ref="E45:F45"/>
    <mergeCell ref="G45:H45"/>
    <mergeCell ref="F36:G36"/>
    <mergeCell ref="F37:G37"/>
    <mergeCell ref="F38:G38"/>
    <mergeCell ref="E39:F39"/>
    <mergeCell ref="G39:H39"/>
    <mergeCell ref="B17:I17"/>
    <mergeCell ref="B18:B19"/>
    <mergeCell ref="C18:C19"/>
    <mergeCell ref="H37:I37"/>
    <mergeCell ref="E44:F44"/>
    <mergeCell ref="E42:F42"/>
    <mergeCell ref="G42:H42"/>
    <mergeCell ref="H38:I38"/>
    <mergeCell ref="E40:F40"/>
    <mergeCell ref="G40:H40"/>
    <mergeCell ref="E41:F41"/>
    <mergeCell ref="G41:H41"/>
    <mergeCell ref="D38:E38"/>
    <mergeCell ref="B2:I2"/>
    <mergeCell ref="B3:I3"/>
    <mergeCell ref="B4:I4"/>
    <mergeCell ref="E43:F43"/>
    <mergeCell ref="G43:H43"/>
  </mergeCells>
  <printOptions horizontalCentered="1"/>
  <pageMargins left="0.19685039370078741" right="0.19685039370078741" top="0.15748031496062992" bottom="0.23622047244094491" header="0.31496062992125984" footer="0.25"/>
  <pageSetup paperSize="9" scale="4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R50"/>
  <sheetViews>
    <sheetView zoomScale="110" zoomScaleNormal="110" workbookViewId="0">
      <selection activeCell="G22" sqref="G22"/>
    </sheetView>
  </sheetViews>
  <sheetFormatPr defaultColWidth="9.140625" defaultRowHeight="15.75" outlineLevelRow="1"/>
  <cols>
    <col min="1" max="1" width="2.85546875" style="2" customWidth="1"/>
    <col min="2" max="2" width="55.42578125" style="2" customWidth="1"/>
    <col min="3" max="3" width="11.7109375" style="67" customWidth="1"/>
    <col min="4" max="4" width="8.7109375" style="4" customWidth="1"/>
    <col min="5" max="5" width="10.5703125" style="4" customWidth="1"/>
    <col min="6" max="6" width="9.85546875" style="4" customWidth="1"/>
    <col min="7" max="7" width="10.42578125" style="2" customWidth="1"/>
    <col min="8" max="9" width="10.28515625" style="2" customWidth="1"/>
    <col min="10" max="10" width="11.85546875" style="274" customWidth="1"/>
    <col min="11" max="13" width="9.140625" style="274"/>
    <col min="14" max="15" width="14.42578125" style="274" customWidth="1"/>
    <col min="16" max="16" width="15.42578125" style="274" customWidth="1"/>
    <col min="17" max="17" width="15.5703125" style="274" customWidth="1"/>
    <col min="18" max="18" width="11.42578125" style="274" customWidth="1"/>
    <col min="19" max="16384" width="9.140625" style="2"/>
  </cols>
  <sheetData>
    <row r="1" spans="1:10">
      <c r="B1" s="168" t="s">
        <v>138</v>
      </c>
      <c r="C1" s="168"/>
      <c r="D1" s="168"/>
      <c r="E1" s="168"/>
      <c r="F1" s="168"/>
      <c r="G1" s="168"/>
      <c r="H1" s="168"/>
      <c r="I1" s="168"/>
    </row>
    <row r="2" spans="1:10">
      <c r="B2" s="168" t="s">
        <v>139</v>
      </c>
      <c r="C2" s="168"/>
      <c r="D2" s="168"/>
      <c r="E2" s="168"/>
      <c r="F2" s="168"/>
      <c r="G2" s="168"/>
      <c r="H2" s="168"/>
      <c r="I2" s="168"/>
    </row>
    <row r="3" spans="1:10">
      <c r="B3" s="168" t="s">
        <v>140</v>
      </c>
      <c r="C3" s="168"/>
      <c r="D3" s="168"/>
      <c r="E3" s="168"/>
      <c r="F3" s="168"/>
      <c r="G3" s="168"/>
      <c r="H3" s="168"/>
      <c r="I3" s="168"/>
    </row>
    <row r="4" spans="1:10">
      <c r="B4" s="168" t="s">
        <v>148</v>
      </c>
      <c r="C4" s="168"/>
      <c r="D4" s="168"/>
      <c r="E4" s="168"/>
      <c r="F4" s="168"/>
      <c r="G4" s="168"/>
      <c r="H4" s="168"/>
      <c r="I4" s="168"/>
    </row>
    <row r="5" spans="1:10" ht="9" customHeight="1">
      <c r="B5" s="66"/>
      <c r="C5" s="66"/>
      <c r="D5" s="66"/>
      <c r="E5" s="66"/>
      <c r="F5" s="66"/>
      <c r="G5" s="66"/>
      <c r="H5" s="66"/>
      <c r="I5" s="66"/>
    </row>
    <row r="6" spans="1:10" ht="15.75" customHeight="1">
      <c r="A6" s="11"/>
      <c r="B6" s="200" t="s">
        <v>141</v>
      </c>
      <c r="C6" s="200"/>
      <c r="D6" s="200"/>
      <c r="E6" s="200"/>
      <c r="F6" s="200"/>
      <c r="G6" s="200"/>
      <c r="H6" s="200"/>
      <c r="I6" s="200"/>
    </row>
    <row r="7" spans="1:10" ht="24" customHeight="1">
      <c r="A7" s="11"/>
      <c r="B7" s="200"/>
      <c r="C7" s="200"/>
      <c r="D7" s="200"/>
      <c r="E7" s="200"/>
      <c r="F7" s="200"/>
      <c r="G7" s="200"/>
      <c r="H7" s="200"/>
      <c r="I7" s="200"/>
    </row>
    <row r="8" spans="1:10" ht="7.5" customHeight="1"/>
    <row r="9" spans="1:10">
      <c r="B9" s="6" t="s">
        <v>0</v>
      </c>
      <c r="C9" s="71"/>
      <c r="D9" s="207" t="s">
        <v>18</v>
      </c>
      <c r="E9" s="207"/>
      <c r="F9" s="207"/>
    </row>
    <row r="10" spans="1:10">
      <c r="B10" s="6" t="s">
        <v>1</v>
      </c>
      <c r="C10" s="71"/>
      <c r="D10" s="63">
        <v>1971</v>
      </c>
      <c r="E10" s="63"/>
      <c r="F10" s="63"/>
    </row>
    <row r="11" spans="1:10" hidden="1" outlineLevel="1">
      <c r="B11" s="6" t="s">
        <v>2</v>
      </c>
      <c r="C11" s="71"/>
      <c r="D11" s="63">
        <v>4</v>
      </c>
      <c r="E11" s="63"/>
      <c r="F11" s="63"/>
    </row>
    <row r="12" spans="1:10" hidden="1" outlineLevel="1">
      <c r="B12" s="6" t="s">
        <v>3</v>
      </c>
      <c r="C12" s="71"/>
      <c r="D12" s="63">
        <v>64</v>
      </c>
      <c r="E12" s="63"/>
      <c r="F12" s="63"/>
    </row>
    <row r="13" spans="1:10" ht="30.75" hidden="1" customHeight="1" outlineLevel="1">
      <c r="B13" s="64" t="s">
        <v>4</v>
      </c>
      <c r="C13" s="72"/>
      <c r="D13" s="63" t="s">
        <v>19</v>
      </c>
      <c r="E13" s="63"/>
      <c r="F13" s="63"/>
    </row>
    <row r="14" spans="1:10" collapsed="1">
      <c r="B14" s="6" t="s">
        <v>5</v>
      </c>
      <c r="C14" s="71"/>
      <c r="D14" s="63" t="s">
        <v>155</v>
      </c>
      <c r="E14" s="63"/>
      <c r="F14" s="63"/>
      <c r="J14" s="276"/>
    </row>
    <row r="15" spans="1:10" hidden="1" outlineLevel="1">
      <c r="B15" s="2" t="s">
        <v>6</v>
      </c>
      <c r="D15" s="13" t="s">
        <v>7</v>
      </c>
      <c r="E15" s="13"/>
      <c r="F15" s="13"/>
    </row>
    <row r="16" spans="1:10" ht="30.75" hidden="1" customHeight="1" outlineLevel="1">
      <c r="B16" s="14" t="s">
        <v>8</v>
      </c>
      <c r="C16" s="68"/>
      <c r="D16" s="208" t="s">
        <v>20</v>
      </c>
      <c r="E16" s="208"/>
      <c r="F16" s="13"/>
      <c r="J16" s="276"/>
    </row>
    <row r="17" spans="2:18" ht="21" customHeight="1" collapsed="1" thickBot="1">
      <c r="B17" s="215" t="s">
        <v>144</v>
      </c>
      <c r="C17" s="215"/>
      <c r="D17" s="215"/>
      <c r="E17" s="215"/>
      <c r="F17" s="215"/>
      <c r="G17" s="215"/>
      <c r="H17" s="215"/>
      <c r="I17" s="215"/>
      <c r="M17" s="276"/>
      <c r="N17" s="277" t="s">
        <v>99</v>
      </c>
      <c r="O17" s="277" t="s">
        <v>100</v>
      </c>
      <c r="P17" s="277" t="s">
        <v>101</v>
      </c>
      <c r="Q17" s="277" t="s">
        <v>102</v>
      </c>
    </row>
    <row r="18" spans="2:18" ht="36.75" customHeight="1">
      <c r="B18" s="216" t="s">
        <v>97</v>
      </c>
      <c r="C18" s="218" t="s">
        <v>103</v>
      </c>
      <c r="D18" s="218" t="s">
        <v>121</v>
      </c>
      <c r="E18" s="175" t="s">
        <v>147</v>
      </c>
      <c r="F18" s="210" t="s">
        <v>146</v>
      </c>
      <c r="G18" s="213" t="s">
        <v>104</v>
      </c>
      <c r="H18" s="214"/>
      <c r="I18" s="201" t="s">
        <v>151</v>
      </c>
      <c r="M18" s="276"/>
      <c r="N18" s="277"/>
      <c r="O18" s="277"/>
      <c r="P18" s="277"/>
      <c r="Q18" s="277"/>
    </row>
    <row r="19" spans="2:18" ht="42.75" customHeight="1" thickBot="1">
      <c r="B19" s="217"/>
      <c r="C19" s="219"/>
      <c r="D19" s="219"/>
      <c r="E19" s="176"/>
      <c r="F19" s="211"/>
      <c r="G19" s="16" t="s">
        <v>84</v>
      </c>
      <c r="H19" s="17" t="s">
        <v>85</v>
      </c>
      <c r="I19" s="202"/>
      <c r="N19" s="278">
        <v>156102.44</v>
      </c>
      <c r="O19" s="278">
        <f>317467.88-N19</f>
        <v>161365.44</v>
      </c>
      <c r="P19" s="278">
        <v>141855.31</v>
      </c>
      <c r="Q19" s="278">
        <v>161678.75</v>
      </c>
    </row>
    <row r="20" spans="2:18" s="9" customFormat="1" ht="48">
      <c r="B20" s="18" t="s">
        <v>89</v>
      </c>
      <c r="C20" s="19" t="s">
        <v>105</v>
      </c>
      <c r="D20" s="20" t="s">
        <v>106</v>
      </c>
      <c r="E20" s="21">
        <v>1.05</v>
      </c>
      <c r="F20" s="21">
        <v>1.06</v>
      </c>
      <c r="G20" s="22">
        <f t="shared" ref="G20:G27" si="0">($N$19/$N$20*E20)+($O$19/$O$20*F20)</f>
        <v>33420.404131853436</v>
      </c>
      <c r="H20" s="23">
        <f>($P$19/$P$20*E20)+($Q$19/$Q$20*F20)</f>
        <v>31974.143204628366</v>
      </c>
      <c r="I20" s="24">
        <f>G20-H20</f>
        <v>1446.2609272250702</v>
      </c>
      <c r="J20" s="279"/>
      <c r="K20" s="280"/>
      <c r="L20" s="280"/>
      <c r="M20" s="281"/>
      <c r="N20" s="282">
        <f>E30-E28-E26</f>
        <v>10.110000000000001</v>
      </c>
      <c r="O20" s="282">
        <f>F30-F28-F26</f>
        <v>9.94</v>
      </c>
      <c r="P20" s="282">
        <f>E30-E28-E26</f>
        <v>10.110000000000001</v>
      </c>
      <c r="Q20" s="282">
        <f>F30-F28-F26</f>
        <v>9.94</v>
      </c>
      <c r="R20" s="280"/>
    </row>
    <row r="21" spans="2:18" s="3" customFormat="1" ht="51">
      <c r="B21" s="26" t="s">
        <v>93</v>
      </c>
      <c r="C21" s="19" t="s">
        <v>105</v>
      </c>
      <c r="D21" s="20" t="s">
        <v>106</v>
      </c>
      <c r="E21" s="27">
        <v>1.17</v>
      </c>
      <c r="F21" s="27">
        <v>1.19</v>
      </c>
      <c r="G21" s="22">
        <f t="shared" si="0"/>
        <v>37383.665283570859</v>
      </c>
      <c r="H21" s="28">
        <f t="shared" ref="H21:H27" si="1">($P$19/$P$20*E21)+($Q$19/$Q$20*F21)</f>
        <v>35772.396571446479</v>
      </c>
      <c r="I21" s="24">
        <f t="shared" ref="I21:I27" si="2">G21-H21</f>
        <v>1611.2687121243798</v>
      </c>
      <c r="J21" s="283"/>
      <c r="K21" s="284"/>
      <c r="L21" s="284"/>
      <c r="M21" s="284"/>
      <c r="N21" s="285"/>
      <c r="O21" s="284"/>
      <c r="P21" s="284"/>
      <c r="Q21" s="284"/>
      <c r="R21" s="284"/>
    </row>
    <row r="22" spans="2:18" ht="57" customHeight="1">
      <c r="B22" s="30" t="s">
        <v>86</v>
      </c>
      <c r="C22" s="19" t="s">
        <v>105</v>
      </c>
      <c r="D22" s="20" t="s">
        <v>106</v>
      </c>
      <c r="E22" s="27">
        <v>0.27</v>
      </c>
      <c r="F22" s="27">
        <v>0.32</v>
      </c>
      <c r="G22" s="22">
        <f t="shared" si="0"/>
        <v>9363.7711527324191</v>
      </c>
      <c r="H22" s="28">
        <f t="shared" si="1"/>
        <v>8993.3704400288971</v>
      </c>
      <c r="I22" s="24">
        <f t="shared" si="2"/>
        <v>370.400712703522</v>
      </c>
      <c r="J22" s="286"/>
      <c r="M22" s="276"/>
    </row>
    <row r="23" spans="2:18" ht="29.25" customHeight="1">
      <c r="B23" s="30" t="s">
        <v>87</v>
      </c>
      <c r="C23" s="32" t="s">
        <v>107</v>
      </c>
      <c r="D23" s="20" t="s">
        <v>106</v>
      </c>
      <c r="E23" s="27">
        <v>0.24</v>
      </c>
      <c r="F23" s="27">
        <v>0.25</v>
      </c>
      <c r="G23" s="22">
        <f t="shared" si="0"/>
        <v>7764.1828265736849</v>
      </c>
      <c r="H23" s="28">
        <f t="shared" si="1"/>
        <v>7433.8520555678278</v>
      </c>
      <c r="I23" s="24">
        <f t="shared" si="2"/>
        <v>330.33077100585706</v>
      </c>
      <c r="J23" s="286"/>
      <c r="M23" s="276"/>
    </row>
    <row r="24" spans="2:18" ht="51">
      <c r="B24" s="26" t="s">
        <v>90</v>
      </c>
      <c r="C24" s="19" t="s">
        <v>170</v>
      </c>
      <c r="D24" s="20" t="s">
        <v>106</v>
      </c>
      <c r="E24" s="27">
        <v>1.33</v>
      </c>
      <c r="F24" s="27">
        <v>1.18</v>
      </c>
      <c r="G24" s="22">
        <f t="shared" si="0"/>
        <v>39691.789743406029</v>
      </c>
      <c r="H24" s="28">
        <f t="shared" si="1"/>
        <v>37854.731962616446</v>
      </c>
      <c r="I24" s="24">
        <f t="shared" si="2"/>
        <v>1837.0577807895825</v>
      </c>
      <c r="J24" s="286"/>
    </row>
    <row r="25" spans="2:18" ht="213.75" customHeight="1">
      <c r="B25" s="26" t="s">
        <v>145</v>
      </c>
      <c r="C25" s="19" t="s">
        <v>109</v>
      </c>
      <c r="D25" s="20" t="s">
        <v>106</v>
      </c>
      <c r="E25" s="27">
        <v>5.6</v>
      </c>
      <c r="F25" s="27">
        <v>5.61</v>
      </c>
      <c r="G25" s="22">
        <f t="shared" si="0"/>
        <v>177538.6843034866</v>
      </c>
      <c r="H25" s="28">
        <f>G25+183</f>
        <v>177721.6843034866</v>
      </c>
      <c r="I25" s="24">
        <f t="shared" si="2"/>
        <v>-183</v>
      </c>
      <c r="J25" s="283"/>
      <c r="K25" s="284"/>
      <c r="L25" s="284"/>
      <c r="M25" s="285"/>
      <c r="N25" s="284"/>
      <c r="O25" s="284"/>
      <c r="P25" s="284"/>
      <c r="Q25" s="284"/>
    </row>
    <row r="26" spans="2:18" s="3" customFormat="1" ht="24">
      <c r="B26" s="30" t="s">
        <v>108</v>
      </c>
      <c r="C26" s="19" t="s">
        <v>107</v>
      </c>
      <c r="D26" s="20" t="s">
        <v>106</v>
      </c>
      <c r="E26" s="27">
        <v>2</v>
      </c>
      <c r="F26" s="27">
        <v>2</v>
      </c>
      <c r="G26" s="22">
        <v>61761.599999999999</v>
      </c>
      <c r="H26" s="28">
        <v>57381.51</v>
      </c>
      <c r="I26" s="24">
        <f>H26-G26</f>
        <v>-4380.0899999999965</v>
      </c>
      <c r="J26" s="286"/>
      <c r="K26" s="274"/>
      <c r="L26" s="274"/>
      <c r="M26" s="274"/>
      <c r="N26" s="274"/>
      <c r="O26" s="274"/>
      <c r="P26" s="274"/>
      <c r="Q26" s="274"/>
      <c r="R26" s="284"/>
    </row>
    <row r="27" spans="2:18" ht="107.45" customHeight="1">
      <c r="B27" s="26" t="s">
        <v>111</v>
      </c>
      <c r="C27" s="19" t="s">
        <v>105</v>
      </c>
      <c r="D27" s="20" t="s">
        <v>106</v>
      </c>
      <c r="E27" s="27">
        <v>0.21</v>
      </c>
      <c r="F27" s="27">
        <v>0.24</v>
      </c>
      <c r="G27" s="22">
        <f t="shared" si="0"/>
        <v>7138.6313615819545</v>
      </c>
      <c r="H27" s="28">
        <f t="shared" si="1"/>
        <v>6850.2617395172219</v>
      </c>
      <c r="I27" s="24">
        <f t="shared" si="2"/>
        <v>288.36962206473254</v>
      </c>
      <c r="J27" s="286"/>
    </row>
    <row r="28" spans="2:18" ht="48">
      <c r="B28" s="30" t="s">
        <v>94</v>
      </c>
      <c r="C28" s="19" t="s">
        <v>105</v>
      </c>
      <c r="D28" s="20" t="s">
        <v>106</v>
      </c>
      <c r="E28" s="27">
        <v>3.49</v>
      </c>
      <c r="F28" s="27">
        <v>4.5999999999999996</v>
      </c>
      <c r="G28" s="22">
        <v>109268</v>
      </c>
      <c r="H28" s="28">
        <v>90578</v>
      </c>
      <c r="I28" s="24">
        <f>G28-H28</f>
        <v>18690</v>
      </c>
      <c r="J28" s="286"/>
      <c r="M28" s="276"/>
    </row>
    <row r="29" spans="2:18" ht="16.5" thickBot="1">
      <c r="B29" s="69" t="s">
        <v>88</v>
      </c>
      <c r="C29" s="34" t="s">
        <v>109</v>
      </c>
      <c r="D29" s="35" t="s">
        <v>106</v>
      </c>
      <c r="E29" s="36">
        <v>0.24</v>
      </c>
      <c r="F29" s="36">
        <v>0.09</v>
      </c>
      <c r="G29" s="37">
        <f t="shared" ref="G29" si="3">($N$19/$N$20*E29)+($O$19/$O$20*F29)</f>
        <v>5166.7511967950122</v>
      </c>
      <c r="H29" s="38">
        <f t="shared" ref="H29" si="4">($P$19/$P$20*E29)+($Q$19/$Q$20*F29)</f>
        <v>4831.3772064732602</v>
      </c>
      <c r="I29" s="24">
        <f>G29-H29</f>
        <v>335.37399032175199</v>
      </c>
      <c r="J29" s="286"/>
    </row>
    <row r="30" spans="2:18" ht="16.5" thickBot="1">
      <c r="B30" s="39" t="s">
        <v>92</v>
      </c>
      <c r="C30" s="40"/>
      <c r="D30" s="40"/>
      <c r="E30" s="41">
        <f>SUM(E20:E29)</f>
        <v>15.600000000000001</v>
      </c>
      <c r="F30" s="42">
        <f>SUM(F20:F29)</f>
        <v>16.54</v>
      </c>
      <c r="G30" s="43">
        <f>SUM(G20:G29)</f>
        <v>488497.48</v>
      </c>
      <c r="H30" s="44">
        <f>SUM(H20:H29)</f>
        <v>459391.32748376508</v>
      </c>
      <c r="I30" s="45">
        <f>SUM(I20:I29)</f>
        <v>20345.972516234899</v>
      </c>
      <c r="J30" s="286"/>
    </row>
    <row r="31" spans="2:18" s="4" customFormat="1">
      <c r="B31" s="5"/>
      <c r="C31" s="5"/>
      <c r="D31" s="5"/>
      <c r="E31" s="12"/>
      <c r="F31" s="12"/>
      <c r="J31" s="274"/>
      <c r="K31" s="274"/>
      <c r="L31" s="274"/>
      <c r="M31" s="274"/>
      <c r="N31" s="274"/>
      <c r="O31" s="274"/>
      <c r="P31" s="274"/>
      <c r="Q31" s="274"/>
      <c r="R31" s="292"/>
    </row>
    <row r="32" spans="2:18" ht="16.5" customHeight="1" thickBot="1">
      <c r="B32" s="177" t="s">
        <v>143</v>
      </c>
      <c r="C32" s="177"/>
      <c r="D32" s="177"/>
      <c r="E32" s="177"/>
      <c r="F32" s="177"/>
      <c r="G32" s="177"/>
      <c r="H32" s="177"/>
      <c r="I32" s="177"/>
      <c r="J32" s="287"/>
      <c r="K32" s="287"/>
    </row>
    <row r="33" spans="2:18" ht="42.75" customHeight="1">
      <c r="B33" s="46"/>
      <c r="C33" s="47"/>
      <c r="D33" s="182" t="s">
        <v>110</v>
      </c>
      <c r="E33" s="183"/>
      <c r="F33" s="171" t="s">
        <v>9</v>
      </c>
      <c r="G33" s="172"/>
      <c r="H33" s="171" t="s">
        <v>10</v>
      </c>
      <c r="I33" s="223"/>
      <c r="J33" s="288"/>
      <c r="K33" s="289"/>
      <c r="L33" s="290"/>
      <c r="M33" s="291"/>
      <c r="N33" s="292"/>
      <c r="O33" s="292"/>
      <c r="P33" s="292"/>
      <c r="Q33" s="292"/>
    </row>
    <row r="34" spans="2:18">
      <c r="B34" s="48" t="s">
        <v>11</v>
      </c>
      <c r="C34" s="49"/>
      <c r="D34" s="169">
        <f>F34+H34</f>
        <v>488497.48</v>
      </c>
      <c r="E34" s="184"/>
      <c r="F34" s="169">
        <f>61761.6+317467.88</f>
        <v>379229.48</v>
      </c>
      <c r="G34" s="184"/>
      <c r="H34" s="169">
        <f>G28</f>
        <v>109268</v>
      </c>
      <c r="I34" s="180"/>
      <c r="J34" s="293"/>
      <c r="K34" s="294" t="s">
        <v>152</v>
      </c>
      <c r="L34" s="295">
        <v>92907.28</v>
      </c>
      <c r="M34" s="295">
        <v>582104.66</v>
      </c>
      <c r="N34" s="296">
        <f>M34-L34</f>
        <v>489197.38</v>
      </c>
      <c r="O34" s="297">
        <f>N34-D34</f>
        <v>699.90000000002328</v>
      </c>
      <c r="P34" s="296" t="s">
        <v>153</v>
      </c>
    </row>
    <row r="35" spans="2:18">
      <c r="B35" s="48" t="s">
        <v>12</v>
      </c>
      <c r="C35" s="49"/>
      <c r="D35" s="169">
        <f>F35+H35</f>
        <v>438101.02</v>
      </c>
      <c r="E35" s="184"/>
      <c r="F35" s="169">
        <f>283302.95+57381.51</f>
        <v>340684.46</v>
      </c>
      <c r="G35" s="184"/>
      <c r="H35" s="169">
        <v>97416.56</v>
      </c>
      <c r="I35" s="180"/>
      <c r="J35" s="293"/>
      <c r="K35" s="298"/>
      <c r="L35" s="299">
        <v>2425.41</v>
      </c>
      <c r="M35" s="295">
        <v>441699.77</v>
      </c>
      <c r="N35" s="296">
        <f>M35-L35</f>
        <v>439274.36000000004</v>
      </c>
      <c r="O35" s="297">
        <f>N35-D35</f>
        <v>1173.3400000000256</v>
      </c>
      <c r="P35" s="296" t="s">
        <v>153</v>
      </c>
    </row>
    <row r="36" spans="2:18" ht="15.75" customHeight="1" thickBot="1">
      <c r="B36" s="51" t="s">
        <v>91</v>
      </c>
      <c r="C36" s="52"/>
      <c r="D36" s="187">
        <f>F36+H36</f>
        <v>459391.32748376508</v>
      </c>
      <c r="E36" s="189"/>
      <c r="F36" s="187">
        <f>H20+H21+H22+H23+H24+H25+H26+H27+H29</f>
        <v>368813.32748376508</v>
      </c>
      <c r="G36" s="189"/>
      <c r="H36" s="187">
        <f>H28</f>
        <v>90578</v>
      </c>
      <c r="I36" s="220"/>
      <c r="J36" s="293"/>
      <c r="K36" s="298"/>
      <c r="L36" s="286"/>
      <c r="M36" s="286"/>
      <c r="N36" s="276"/>
    </row>
    <row r="37" spans="2:18" ht="26.25" customHeight="1" thickBot="1">
      <c r="B37" s="53" t="s">
        <v>156</v>
      </c>
      <c r="C37" s="54"/>
      <c r="D37" s="198">
        <f>F37+H37</f>
        <v>-21290.307483765064</v>
      </c>
      <c r="E37" s="199"/>
      <c r="F37" s="191">
        <f>F35-F36</f>
        <v>-28128.867483765061</v>
      </c>
      <c r="G37" s="221"/>
      <c r="H37" s="191">
        <f>H35-H36</f>
        <v>6838.5599999999977</v>
      </c>
      <c r="I37" s="222"/>
      <c r="J37" s="293"/>
      <c r="K37" s="298"/>
      <c r="L37" s="286"/>
      <c r="M37" s="286"/>
    </row>
    <row r="38" spans="2:18" s="3" customFormat="1" ht="27" customHeight="1">
      <c r="B38" s="70" t="s">
        <v>79</v>
      </c>
      <c r="C38" s="70"/>
      <c r="D38" s="70"/>
      <c r="E38" s="212" t="s">
        <v>80</v>
      </c>
      <c r="F38" s="212"/>
      <c r="G38" s="195" t="s">
        <v>13</v>
      </c>
      <c r="H38" s="195"/>
      <c r="I38" s="55"/>
      <c r="J38" s="300"/>
      <c r="K38" s="284"/>
      <c r="L38" s="284"/>
      <c r="M38" s="284"/>
      <c r="N38" s="284"/>
      <c r="O38" s="284"/>
      <c r="P38" s="284"/>
      <c r="Q38" s="284"/>
      <c r="R38" s="284"/>
    </row>
    <row r="39" spans="2:18" s="3" customFormat="1" ht="9.75" customHeight="1">
      <c r="B39" s="70"/>
      <c r="C39" s="70"/>
      <c r="D39" s="70"/>
      <c r="E39" s="185" t="s">
        <v>14</v>
      </c>
      <c r="F39" s="185"/>
      <c r="G39" s="196"/>
      <c r="H39" s="196"/>
      <c r="I39" s="55"/>
      <c r="J39" s="300"/>
      <c r="K39" s="284"/>
      <c r="L39" s="284"/>
      <c r="M39" s="284"/>
      <c r="N39" s="284"/>
      <c r="O39" s="284"/>
      <c r="P39" s="284"/>
      <c r="Q39" s="284"/>
      <c r="R39" s="284"/>
    </row>
    <row r="40" spans="2:18" s="3" customFormat="1" ht="15" customHeight="1">
      <c r="B40" s="70" t="s">
        <v>81</v>
      </c>
      <c r="C40" s="70"/>
      <c r="D40" s="70"/>
      <c r="E40" s="186" t="s">
        <v>80</v>
      </c>
      <c r="F40" s="186"/>
      <c r="G40" s="195" t="s">
        <v>96</v>
      </c>
      <c r="H40" s="195"/>
      <c r="I40" s="55"/>
      <c r="J40" s="300"/>
      <c r="K40" s="284"/>
      <c r="L40" s="284"/>
      <c r="M40" s="284"/>
      <c r="N40" s="284"/>
      <c r="O40" s="284"/>
      <c r="P40" s="284"/>
      <c r="Q40" s="284"/>
      <c r="R40" s="284"/>
    </row>
    <row r="41" spans="2:18" ht="10.5" customHeight="1">
      <c r="B41" s="70"/>
      <c r="C41" s="70"/>
      <c r="D41" s="70"/>
      <c r="E41" s="185" t="s">
        <v>14</v>
      </c>
      <c r="F41" s="185"/>
      <c r="G41" s="195"/>
      <c r="H41" s="195"/>
      <c r="I41" s="55"/>
      <c r="J41" s="300"/>
    </row>
    <row r="42" spans="2:18" ht="17.25" customHeight="1">
      <c r="B42" s="70" t="s">
        <v>82</v>
      </c>
      <c r="C42" s="70"/>
      <c r="D42" s="70"/>
      <c r="E42" s="186" t="s">
        <v>80</v>
      </c>
      <c r="F42" s="186"/>
      <c r="G42" s="195" t="s">
        <v>98</v>
      </c>
      <c r="H42" s="195"/>
      <c r="I42" s="55"/>
      <c r="J42" s="300"/>
    </row>
    <row r="43" spans="2:18" ht="11.25" customHeight="1">
      <c r="B43" s="58"/>
      <c r="C43" s="58"/>
      <c r="D43" s="58"/>
      <c r="E43" s="185" t="s">
        <v>14</v>
      </c>
      <c r="F43" s="185"/>
      <c r="G43" s="59"/>
      <c r="H43" s="57"/>
      <c r="I43" s="60"/>
      <c r="J43" s="296"/>
    </row>
    <row r="44" spans="2:18" ht="15" customHeight="1">
      <c r="B44" s="70" t="s">
        <v>83</v>
      </c>
      <c r="C44" s="70"/>
      <c r="D44" s="70"/>
      <c r="E44" s="186" t="s">
        <v>80</v>
      </c>
      <c r="F44" s="186"/>
      <c r="G44" s="195" t="s">
        <v>142</v>
      </c>
      <c r="H44" s="195"/>
      <c r="I44" s="55"/>
      <c r="J44" s="300"/>
    </row>
    <row r="45" spans="2:18" ht="8.25" customHeight="1">
      <c r="B45" s="8"/>
      <c r="C45" s="8"/>
      <c r="D45" s="8"/>
      <c r="E45" s="185" t="s">
        <v>14</v>
      </c>
      <c r="F45" s="185"/>
      <c r="G45" s="185"/>
      <c r="H45" s="185"/>
      <c r="I45" s="4"/>
      <c r="J45" s="292"/>
    </row>
    <row r="46" spans="2:18">
      <c r="C46" s="2"/>
      <c r="D46" s="2"/>
      <c r="E46" s="12"/>
      <c r="F46" s="12"/>
      <c r="G46" s="4"/>
      <c r="H46" s="4"/>
      <c r="I46" s="4"/>
    </row>
    <row r="50" spans="5:5">
      <c r="E50" s="61"/>
    </row>
  </sheetData>
  <mergeCells count="46">
    <mergeCell ref="B6:I7"/>
    <mergeCell ref="F33:G33"/>
    <mergeCell ref="G39:H39"/>
    <mergeCell ref="G40:H40"/>
    <mergeCell ref="F37:G37"/>
    <mergeCell ref="H37:I37"/>
    <mergeCell ref="D36:E36"/>
    <mergeCell ref="H33:I33"/>
    <mergeCell ref="D33:E33"/>
    <mergeCell ref="B32:I32"/>
    <mergeCell ref="D9:F9"/>
    <mergeCell ref="D35:E35"/>
    <mergeCell ref="D34:E34"/>
    <mergeCell ref="D37:E37"/>
    <mergeCell ref="G38:H38"/>
    <mergeCell ref="H34:I34"/>
    <mergeCell ref="B1:I1"/>
    <mergeCell ref="F36:G36"/>
    <mergeCell ref="F18:F19"/>
    <mergeCell ref="G18:H18"/>
    <mergeCell ref="I18:I19"/>
    <mergeCell ref="B2:I2"/>
    <mergeCell ref="B3:I3"/>
    <mergeCell ref="B4:I4"/>
    <mergeCell ref="D16:E16"/>
    <mergeCell ref="B17:I17"/>
    <mergeCell ref="B18:B19"/>
    <mergeCell ref="C18:C19"/>
    <mergeCell ref="D18:D19"/>
    <mergeCell ref="E18:E19"/>
    <mergeCell ref="H36:I36"/>
    <mergeCell ref="F34:G34"/>
    <mergeCell ref="F35:G35"/>
    <mergeCell ref="H35:I35"/>
    <mergeCell ref="G45:H45"/>
    <mergeCell ref="E42:F42"/>
    <mergeCell ref="E43:F43"/>
    <mergeCell ref="E44:F44"/>
    <mergeCell ref="E45:F45"/>
    <mergeCell ref="G42:H42"/>
    <mergeCell ref="G44:H44"/>
    <mergeCell ref="G41:H41"/>
    <mergeCell ref="E38:F38"/>
    <mergeCell ref="E39:F39"/>
    <mergeCell ref="E40:F40"/>
    <mergeCell ref="E41:F41"/>
  </mergeCells>
  <printOptions horizontalCentered="1"/>
  <pageMargins left="0.19685039370078741" right="0.19685039370078741" top="0.15748031496062992" bottom="0.23622047244094491" header="0.15748031496062992" footer="0.23622047244094491"/>
  <pageSetup paperSize="9" scale="43" orientation="portrait" horizontalDpi="180" verticalDpi="180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Q52"/>
  <sheetViews>
    <sheetView topLeftCell="A26" zoomScale="110" zoomScaleNormal="110" workbookViewId="0">
      <selection activeCell="M40" sqref="M40"/>
    </sheetView>
  </sheetViews>
  <sheetFormatPr defaultColWidth="9.140625" defaultRowHeight="15.75" outlineLevelRow="1"/>
  <cols>
    <col min="1" max="1" width="2.85546875" style="2" customWidth="1"/>
    <col min="2" max="2" width="56.5703125" style="2" customWidth="1"/>
    <col min="3" max="3" width="12.5703125" style="145" customWidth="1"/>
    <col min="4" max="5" width="9.140625" style="4" customWidth="1"/>
    <col min="6" max="6" width="9.42578125" style="4" customWidth="1"/>
    <col min="7" max="7" width="10.140625" style="2" customWidth="1"/>
    <col min="8" max="8" width="10.42578125" style="2" customWidth="1"/>
    <col min="9" max="9" width="10" style="2" customWidth="1"/>
    <col min="10" max="10" width="11.85546875" style="274" customWidth="1"/>
    <col min="11" max="13" width="9.140625" style="274"/>
    <col min="14" max="14" width="15" style="274" customWidth="1"/>
    <col min="15" max="15" width="16.5703125" style="274" customWidth="1"/>
    <col min="16" max="16" width="18.42578125" style="274" customWidth="1"/>
    <col min="17" max="17" width="16" style="274" customWidth="1"/>
    <col min="18" max="16384" width="9.140625" style="2"/>
  </cols>
  <sheetData>
    <row r="1" spans="1:10">
      <c r="B1" s="168" t="s">
        <v>138</v>
      </c>
      <c r="C1" s="168"/>
      <c r="D1" s="168"/>
      <c r="E1" s="168"/>
      <c r="F1" s="168"/>
      <c r="G1" s="168"/>
      <c r="H1" s="168"/>
      <c r="I1" s="168"/>
    </row>
    <row r="2" spans="1:10">
      <c r="B2" s="168" t="s">
        <v>139</v>
      </c>
      <c r="C2" s="168"/>
      <c r="D2" s="168"/>
      <c r="E2" s="168"/>
      <c r="F2" s="168"/>
      <c r="G2" s="168"/>
      <c r="H2" s="168"/>
      <c r="I2" s="168"/>
    </row>
    <row r="3" spans="1:10">
      <c r="B3" s="168" t="s">
        <v>140</v>
      </c>
      <c r="C3" s="168"/>
      <c r="D3" s="168"/>
      <c r="E3" s="168"/>
      <c r="F3" s="168"/>
      <c r="G3" s="168"/>
      <c r="H3" s="168"/>
      <c r="I3" s="168"/>
    </row>
    <row r="4" spans="1:10">
      <c r="B4" s="168" t="s">
        <v>148</v>
      </c>
      <c r="C4" s="168"/>
      <c r="D4" s="168"/>
      <c r="E4" s="168"/>
      <c r="F4" s="168"/>
      <c r="G4" s="168"/>
      <c r="H4" s="168"/>
      <c r="I4" s="168"/>
    </row>
    <row r="5" spans="1:10" ht="11.25" customHeight="1">
      <c r="B5" s="66"/>
      <c r="C5" s="66"/>
      <c r="D5" s="66"/>
      <c r="E5" s="66"/>
      <c r="F5" s="66"/>
      <c r="G5" s="66"/>
      <c r="H5" s="66"/>
      <c r="I5" s="66"/>
    </row>
    <row r="6" spans="1:10" ht="19.5" customHeight="1">
      <c r="A6" s="158"/>
      <c r="B6" s="200" t="s">
        <v>141</v>
      </c>
      <c r="C6" s="200"/>
      <c r="D6" s="200"/>
      <c r="E6" s="200"/>
      <c r="F6" s="200"/>
      <c r="G6" s="200"/>
      <c r="H6" s="200"/>
      <c r="I6" s="200"/>
    </row>
    <row r="7" spans="1:10" ht="20.25" customHeight="1">
      <c r="A7" s="158"/>
      <c r="B7" s="200"/>
      <c r="C7" s="200"/>
      <c r="D7" s="200"/>
      <c r="E7" s="200"/>
      <c r="F7" s="200"/>
      <c r="G7" s="200"/>
      <c r="H7" s="200"/>
      <c r="I7" s="200"/>
    </row>
    <row r="8" spans="1:10" ht="8.25" customHeight="1"/>
    <row r="9" spans="1:10">
      <c r="B9" s="6" t="s">
        <v>0</v>
      </c>
      <c r="C9" s="155"/>
      <c r="D9" s="207" t="s">
        <v>74</v>
      </c>
      <c r="E9" s="207"/>
      <c r="F9" s="207"/>
    </row>
    <row r="10" spans="1:10">
      <c r="B10" s="6" t="s">
        <v>1</v>
      </c>
      <c r="C10" s="155"/>
      <c r="D10" s="63">
        <v>1969</v>
      </c>
      <c r="E10" s="63"/>
      <c r="F10" s="63"/>
    </row>
    <row r="11" spans="1:10" hidden="1" outlineLevel="1">
      <c r="B11" s="6" t="s">
        <v>2</v>
      </c>
      <c r="C11" s="155"/>
      <c r="D11" s="63">
        <v>4</v>
      </c>
      <c r="E11" s="63"/>
      <c r="F11" s="63"/>
    </row>
    <row r="12" spans="1:10" hidden="1" outlineLevel="1">
      <c r="B12" s="6" t="s">
        <v>3</v>
      </c>
      <c r="C12" s="155"/>
      <c r="D12" s="63">
        <v>63</v>
      </c>
      <c r="E12" s="63"/>
      <c r="F12" s="63"/>
    </row>
    <row r="13" spans="1:10" ht="30.75" hidden="1" customHeight="1" outlineLevel="1">
      <c r="B13" s="64" t="s">
        <v>4</v>
      </c>
      <c r="C13" s="156"/>
      <c r="D13" s="63" t="s">
        <v>75</v>
      </c>
      <c r="E13" s="63"/>
      <c r="F13" s="63"/>
    </row>
    <row r="14" spans="1:10" collapsed="1">
      <c r="B14" s="6" t="s">
        <v>5</v>
      </c>
      <c r="C14" s="155"/>
      <c r="D14" s="63" t="s">
        <v>128</v>
      </c>
      <c r="E14" s="63"/>
      <c r="F14" s="63"/>
      <c r="J14" s="276"/>
    </row>
    <row r="15" spans="1:10" hidden="1" outlineLevel="1">
      <c r="B15" s="2" t="s">
        <v>6</v>
      </c>
      <c r="D15" s="13" t="s">
        <v>7</v>
      </c>
      <c r="E15" s="13"/>
      <c r="F15" s="13"/>
    </row>
    <row r="16" spans="1:10" ht="30.75" hidden="1" customHeight="1" outlineLevel="1">
      <c r="B16" s="14" t="s">
        <v>8</v>
      </c>
      <c r="C16" s="146"/>
      <c r="D16" s="208" t="s">
        <v>17</v>
      </c>
      <c r="E16" s="208"/>
      <c r="F16" s="13"/>
      <c r="J16" s="276"/>
    </row>
    <row r="17" spans="2:17" ht="18" customHeight="1" collapsed="1" thickBot="1">
      <c r="B17" s="215" t="s">
        <v>144</v>
      </c>
      <c r="C17" s="215"/>
      <c r="D17" s="215"/>
      <c r="E17" s="215"/>
      <c r="F17" s="215"/>
      <c r="G17" s="215"/>
      <c r="H17" s="215"/>
      <c r="I17" s="215"/>
      <c r="J17" s="329"/>
      <c r="K17" s="329"/>
      <c r="M17" s="276"/>
      <c r="N17" s="277" t="s">
        <v>99</v>
      </c>
      <c r="O17" s="277" t="s">
        <v>100</v>
      </c>
      <c r="P17" s="277" t="s">
        <v>101</v>
      </c>
      <c r="Q17" s="277" t="s">
        <v>102</v>
      </c>
    </row>
    <row r="18" spans="2:17" ht="34.5" customHeight="1">
      <c r="B18" s="224" t="s">
        <v>97</v>
      </c>
      <c r="C18" s="218" t="s">
        <v>103</v>
      </c>
      <c r="D18" s="218" t="s">
        <v>121</v>
      </c>
      <c r="E18" s="175" t="s">
        <v>147</v>
      </c>
      <c r="F18" s="210" t="s">
        <v>146</v>
      </c>
      <c r="G18" s="213" t="s">
        <v>104</v>
      </c>
      <c r="H18" s="214"/>
      <c r="I18" s="201" t="s">
        <v>151</v>
      </c>
      <c r="J18" s="330"/>
      <c r="K18" s="330"/>
      <c r="M18" s="276"/>
      <c r="N18" s="277"/>
      <c r="O18" s="277"/>
      <c r="P18" s="277"/>
      <c r="Q18" s="277"/>
    </row>
    <row r="19" spans="2:17" ht="42" customHeight="1" thickBot="1">
      <c r="B19" s="225"/>
      <c r="C19" s="219"/>
      <c r="D19" s="219"/>
      <c r="E19" s="176"/>
      <c r="F19" s="211"/>
      <c r="G19" s="16" t="s">
        <v>84</v>
      </c>
      <c r="H19" s="17" t="s">
        <v>85</v>
      </c>
      <c r="I19" s="202"/>
      <c r="J19" s="330"/>
      <c r="K19" s="330"/>
      <c r="N19" s="278">
        <v>160692.82</v>
      </c>
      <c r="O19" s="278">
        <f>321348.94-N19</f>
        <v>160656.12</v>
      </c>
      <c r="P19" s="278">
        <v>144803.60999999999</v>
      </c>
      <c r="Q19" s="278">
        <v>165039.06</v>
      </c>
    </row>
    <row r="20" spans="2:17" ht="56.25" customHeight="1">
      <c r="B20" s="18" t="s">
        <v>89</v>
      </c>
      <c r="C20" s="19" t="s">
        <v>105</v>
      </c>
      <c r="D20" s="20" t="s">
        <v>106</v>
      </c>
      <c r="E20" s="21">
        <v>1.05</v>
      </c>
      <c r="F20" s="21">
        <v>1.06</v>
      </c>
      <c r="G20" s="22">
        <f>($N$19/$N$20*E20)+($O$19/$O$20*F20)</f>
        <v>33237.543941176475</v>
      </c>
      <c r="H20" s="23">
        <f>($P$19/$P$20*E20)+($Q$19/$Q$20*F20)</f>
        <v>32057.371970588239</v>
      </c>
      <c r="I20" s="24">
        <f>G20-H20</f>
        <v>1180.1719705882351</v>
      </c>
      <c r="J20" s="331"/>
      <c r="K20" s="331"/>
      <c r="L20" s="280"/>
      <c r="M20" s="281"/>
      <c r="N20" s="282">
        <f>E30-E28-E26</f>
        <v>10.199999999999999</v>
      </c>
      <c r="O20" s="282">
        <f>F30-F28-F26</f>
        <v>10.199999999999999</v>
      </c>
      <c r="P20" s="282">
        <f>E30-E28-E26</f>
        <v>10.199999999999999</v>
      </c>
      <c r="Q20" s="282">
        <f>F30-F28-F26</f>
        <v>10.199999999999999</v>
      </c>
    </row>
    <row r="21" spans="2:17" ht="51">
      <c r="B21" s="26" t="s">
        <v>93</v>
      </c>
      <c r="C21" s="19" t="s">
        <v>105</v>
      </c>
      <c r="D21" s="20" t="s">
        <v>106</v>
      </c>
      <c r="E21" s="27">
        <v>1.17</v>
      </c>
      <c r="F21" s="27">
        <v>1.19</v>
      </c>
      <c r="G21" s="22">
        <f t="shared" ref="G21:G29" si="0">($N$19/$N$20*E21)+($O$19/$O$20*F21)</f>
        <v>37175.625705882354</v>
      </c>
      <c r="H21" s="23">
        <f t="shared" ref="H21:H25" si="1">($P$19/$P$20*E21)+($Q$19/$Q$20*F21)</f>
        <v>35864.382852941177</v>
      </c>
      <c r="I21" s="24">
        <f t="shared" ref="I21:I27" si="2">G21-H21</f>
        <v>1311.2428529411773</v>
      </c>
      <c r="J21" s="331"/>
      <c r="K21" s="331"/>
      <c r="L21" s="284"/>
      <c r="M21" s="284"/>
      <c r="N21" s="285"/>
      <c r="O21" s="284"/>
      <c r="P21" s="284"/>
      <c r="Q21" s="284"/>
    </row>
    <row r="22" spans="2:17" ht="49.5" customHeight="1">
      <c r="B22" s="30" t="s">
        <v>86</v>
      </c>
      <c r="C22" s="19" t="s">
        <v>105</v>
      </c>
      <c r="D22" s="20" t="s">
        <v>106</v>
      </c>
      <c r="E22" s="27">
        <v>0.27</v>
      </c>
      <c r="F22" s="27">
        <v>0.32</v>
      </c>
      <c r="G22" s="22">
        <f t="shared" si="0"/>
        <v>9293.8254705882355</v>
      </c>
      <c r="H22" s="23">
        <f t="shared" si="1"/>
        <v>9010.7327352941174</v>
      </c>
      <c r="I22" s="24">
        <f t="shared" si="2"/>
        <v>283.09273529411803</v>
      </c>
      <c r="J22" s="331"/>
      <c r="K22" s="331"/>
      <c r="M22" s="276"/>
    </row>
    <row r="23" spans="2:17" ht="25.5">
      <c r="B23" s="30" t="s">
        <v>87</v>
      </c>
      <c r="C23" s="32" t="s">
        <v>107</v>
      </c>
      <c r="D23" s="20" t="s">
        <v>106</v>
      </c>
      <c r="E23" s="27">
        <v>0.18</v>
      </c>
      <c r="F23" s="27">
        <v>0.2</v>
      </c>
      <c r="G23" s="22">
        <f t="shared" si="0"/>
        <v>5985.8756470588241</v>
      </c>
      <c r="H23" s="23">
        <f t="shared" si="1"/>
        <v>5791.4178235294121</v>
      </c>
      <c r="I23" s="24">
        <f t="shared" si="2"/>
        <v>194.45782352941205</v>
      </c>
      <c r="J23" s="331"/>
      <c r="K23" s="331"/>
      <c r="M23" s="276"/>
    </row>
    <row r="24" spans="2:17" ht="51">
      <c r="B24" s="26" t="s">
        <v>90</v>
      </c>
      <c r="C24" s="19" t="s">
        <v>170</v>
      </c>
      <c r="D24" s="20" t="s">
        <v>106</v>
      </c>
      <c r="E24" s="27">
        <v>1.33</v>
      </c>
      <c r="F24" s="27">
        <v>1.18</v>
      </c>
      <c r="G24" s="22">
        <f t="shared" si="0"/>
        <v>39538.791392156869</v>
      </c>
      <c r="H24" s="23">
        <f t="shared" si="1"/>
        <v>37974.009029411769</v>
      </c>
      <c r="I24" s="24">
        <f t="shared" si="2"/>
        <v>1564.7823627450998</v>
      </c>
      <c r="J24" s="331"/>
      <c r="K24" s="331"/>
    </row>
    <row r="25" spans="2:17" ht="213.75" customHeight="1">
      <c r="B25" s="26" t="s">
        <v>145</v>
      </c>
      <c r="C25" s="19" t="s">
        <v>109</v>
      </c>
      <c r="D25" s="20" t="s">
        <v>106</v>
      </c>
      <c r="E25" s="27">
        <v>5.6</v>
      </c>
      <c r="F25" s="27">
        <v>5.61</v>
      </c>
      <c r="G25" s="22">
        <f t="shared" si="0"/>
        <v>176584.37501960783</v>
      </c>
      <c r="H25" s="23">
        <f t="shared" si="1"/>
        <v>170271.50417647057</v>
      </c>
      <c r="I25" s="24">
        <f t="shared" si="2"/>
        <v>6312.8708431372652</v>
      </c>
      <c r="J25" s="331"/>
      <c r="K25" s="331"/>
      <c r="L25" s="284"/>
      <c r="M25" s="285"/>
      <c r="N25" s="284"/>
      <c r="O25" s="284"/>
      <c r="P25" s="284"/>
      <c r="Q25" s="284"/>
    </row>
    <row r="26" spans="2:17" ht="33" customHeight="1">
      <c r="B26" s="30" t="s">
        <v>108</v>
      </c>
      <c r="C26" s="19" t="s">
        <v>107</v>
      </c>
      <c r="D26" s="20" t="s">
        <v>106</v>
      </c>
      <c r="E26" s="27">
        <v>2</v>
      </c>
      <c r="F26" s="27">
        <v>2</v>
      </c>
      <c r="G26" s="22">
        <v>63009.599999999999</v>
      </c>
      <c r="H26" s="28">
        <v>57375.27</v>
      </c>
      <c r="I26" s="24">
        <f>H26-G26</f>
        <v>-5634.3300000000017</v>
      </c>
      <c r="J26" s="331"/>
      <c r="K26" s="331"/>
    </row>
    <row r="27" spans="2:17" ht="102">
      <c r="B27" s="26" t="s">
        <v>111</v>
      </c>
      <c r="C27" s="19" t="s">
        <v>105</v>
      </c>
      <c r="D27" s="20" t="s">
        <v>106</v>
      </c>
      <c r="E27" s="27">
        <v>0.21</v>
      </c>
      <c r="F27" s="27">
        <v>0.24</v>
      </c>
      <c r="G27" s="22">
        <f t="shared" si="0"/>
        <v>7088.525588235294</v>
      </c>
      <c r="H27" s="23">
        <f>($P$19/$P$20*E27)+($Q$19/$Q$20*F27)</f>
        <v>6864.5227941176472</v>
      </c>
      <c r="I27" s="24">
        <f t="shared" si="2"/>
        <v>224.00279411764677</v>
      </c>
      <c r="J27" s="331"/>
      <c r="K27" s="331"/>
    </row>
    <row r="28" spans="2:17" ht="48.75" customHeight="1">
      <c r="B28" s="30" t="s">
        <v>94</v>
      </c>
      <c r="C28" s="19" t="s">
        <v>105</v>
      </c>
      <c r="D28" s="20" t="s">
        <v>106</v>
      </c>
      <c r="E28" s="27">
        <v>4.5199999999999996</v>
      </c>
      <c r="F28" s="27">
        <v>4.5199999999999996</v>
      </c>
      <c r="G28" s="22">
        <v>142401.68</v>
      </c>
      <c r="H28" s="28">
        <v>57087</v>
      </c>
      <c r="I28" s="24">
        <f>G28-H28</f>
        <v>85314.68</v>
      </c>
      <c r="J28" s="331"/>
      <c r="K28" s="331"/>
      <c r="M28" s="276"/>
    </row>
    <row r="29" spans="2:17" ht="16.5" thickBot="1">
      <c r="B29" s="69" t="s">
        <v>88</v>
      </c>
      <c r="C29" s="34" t="s">
        <v>109</v>
      </c>
      <c r="D29" s="35" t="s">
        <v>106</v>
      </c>
      <c r="E29" s="36">
        <v>0.39</v>
      </c>
      <c r="F29" s="36">
        <v>0.4</v>
      </c>
      <c r="G29" s="37">
        <f t="shared" si="0"/>
        <v>12444.37723529412</v>
      </c>
      <c r="H29" s="73">
        <f t="shared" ref="H29" si="3">($P$19/$P$20*E29)+($Q$19/$Q$20*F29)</f>
        <v>12008.728617647059</v>
      </c>
      <c r="I29" s="24">
        <f>G29-H29</f>
        <v>435.64861764706075</v>
      </c>
      <c r="J29" s="331"/>
      <c r="K29" s="331"/>
    </row>
    <row r="30" spans="2:17" ht="16.5" thickBot="1">
      <c r="B30" s="39" t="s">
        <v>92</v>
      </c>
      <c r="C30" s="40"/>
      <c r="D30" s="40"/>
      <c r="E30" s="41">
        <f>SUM(E20:E29)</f>
        <v>16.72</v>
      </c>
      <c r="F30" s="42">
        <f>SUM(F20:F29)</f>
        <v>16.72</v>
      </c>
      <c r="G30" s="43">
        <f>SUM(G20:G29)</f>
        <v>526760.22</v>
      </c>
      <c r="H30" s="44">
        <f>SUM(H20:H29)</f>
        <v>424304.94</v>
      </c>
      <c r="I30" s="45">
        <f>SUM(I20:I29)</f>
        <v>91186.62000000001</v>
      </c>
      <c r="J30" s="332"/>
      <c r="K30" s="332"/>
    </row>
    <row r="31" spans="2:17">
      <c r="B31" s="5"/>
      <c r="C31" s="5"/>
      <c r="D31" s="5"/>
      <c r="E31" s="12"/>
      <c r="F31" s="12"/>
      <c r="G31" s="12"/>
      <c r="H31" s="12"/>
      <c r="I31" s="4"/>
      <c r="J31" s="292"/>
      <c r="K31" s="292"/>
    </row>
    <row r="32" spans="2:17" ht="16.5" customHeight="1" thickBot="1">
      <c r="B32" s="177" t="s">
        <v>143</v>
      </c>
      <c r="C32" s="177"/>
      <c r="D32" s="177"/>
      <c r="E32" s="177"/>
      <c r="F32" s="177"/>
      <c r="G32" s="177"/>
      <c r="H32" s="177"/>
      <c r="I32" s="177"/>
      <c r="J32" s="333"/>
      <c r="K32" s="333"/>
    </row>
    <row r="33" spans="2:17" ht="40.5" customHeight="1">
      <c r="B33" s="46"/>
      <c r="C33" s="47"/>
      <c r="D33" s="182" t="s">
        <v>110</v>
      </c>
      <c r="E33" s="183"/>
      <c r="F33" s="171" t="s">
        <v>9</v>
      </c>
      <c r="G33" s="172"/>
      <c r="H33" s="171" t="s">
        <v>10</v>
      </c>
      <c r="I33" s="223"/>
      <c r="J33" s="334"/>
      <c r="K33" s="334"/>
      <c r="L33" s="290" t="s">
        <v>152</v>
      </c>
      <c r="M33" s="291"/>
      <c r="N33" s="292"/>
      <c r="O33" s="292"/>
      <c r="P33" s="292"/>
      <c r="Q33" s="292"/>
    </row>
    <row r="34" spans="2:17">
      <c r="B34" s="48" t="s">
        <v>11</v>
      </c>
      <c r="C34" s="49"/>
      <c r="D34" s="169">
        <f>F34+H34</f>
        <v>526760.22</v>
      </c>
      <c r="E34" s="184"/>
      <c r="F34" s="169">
        <f>321348.94+63009.6</f>
        <v>384358.54</v>
      </c>
      <c r="G34" s="184"/>
      <c r="H34" s="169">
        <f>G28</f>
        <v>142401.68</v>
      </c>
      <c r="I34" s="180"/>
      <c r="J34" s="335"/>
      <c r="K34" s="335"/>
      <c r="L34" s="295">
        <v>118891.26</v>
      </c>
      <c r="M34" s="295">
        <v>645651.48</v>
      </c>
      <c r="N34" s="296">
        <f>M34-L34</f>
        <v>526760.22</v>
      </c>
      <c r="O34" s="297">
        <f>N34-D34</f>
        <v>0</v>
      </c>
    </row>
    <row r="35" spans="2:17">
      <c r="B35" s="48" t="s">
        <v>12</v>
      </c>
      <c r="C35" s="49"/>
      <c r="D35" s="169">
        <f>F35+H35</f>
        <v>469071</v>
      </c>
      <c r="E35" s="184"/>
      <c r="F35" s="169">
        <f>285278.32+57375.27</f>
        <v>342653.59</v>
      </c>
      <c r="G35" s="184"/>
      <c r="H35" s="169">
        <v>126417.41</v>
      </c>
      <c r="I35" s="180"/>
      <c r="J35" s="335"/>
      <c r="K35" s="335"/>
      <c r="L35" s="299">
        <v>2060.6</v>
      </c>
      <c r="M35" s="295">
        <v>471131.6</v>
      </c>
      <c r="N35" s="296">
        <f>M35-L35</f>
        <v>469071</v>
      </c>
      <c r="O35" s="297">
        <f>N35-D35</f>
        <v>0</v>
      </c>
    </row>
    <row r="36" spans="2:17" ht="16.5" thickBot="1">
      <c r="B36" s="51" t="s">
        <v>91</v>
      </c>
      <c r="C36" s="52"/>
      <c r="D36" s="187">
        <f>F36+H36</f>
        <v>424304.94</v>
      </c>
      <c r="E36" s="189"/>
      <c r="F36" s="269">
        <f>H20+H21+H22+H23+H24+H25+H26+H27+H29</f>
        <v>367217.94</v>
      </c>
      <c r="G36" s="270"/>
      <c r="H36" s="269">
        <f>H28</f>
        <v>57087</v>
      </c>
      <c r="I36" s="272"/>
      <c r="J36" s="335"/>
      <c r="K36" s="335"/>
      <c r="L36" s="286"/>
      <c r="M36" s="286"/>
    </row>
    <row r="37" spans="2:17" ht="29.25" customHeight="1" thickBot="1">
      <c r="B37" s="53" t="s">
        <v>156</v>
      </c>
      <c r="C37" s="54"/>
      <c r="D37" s="198">
        <f>F37+H37</f>
        <v>44766.060000000027</v>
      </c>
      <c r="E37" s="199"/>
      <c r="F37" s="191">
        <f>F35-F36</f>
        <v>-24564.349999999977</v>
      </c>
      <c r="G37" s="221"/>
      <c r="H37" s="267">
        <f>H35-H36</f>
        <v>69330.41</v>
      </c>
      <c r="I37" s="268"/>
      <c r="J37" s="335"/>
      <c r="K37" s="335"/>
      <c r="L37" s="286"/>
      <c r="M37" s="286"/>
    </row>
    <row r="38" spans="2:17" ht="26.25" customHeight="1">
      <c r="B38" s="70" t="s">
        <v>79</v>
      </c>
      <c r="C38" s="70"/>
      <c r="D38" s="70"/>
      <c r="E38" s="273" t="s">
        <v>80</v>
      </c>
      <c r="F38" s="273"/>
      <c r="G38" s="195" t="s">
        <v>13</v>
      </c>
      <c r="H38" s="195"/>
      <c r="I38" s="70"/>
      <c r="J38" s="336"/>
      <c r="K38" s="336"/>
      <c r="L38" s="284"/>
      <c r="M38" s="284"/>
      <c r="N38" s="284"/>
      <c r="O38" s="284"/>
      <c r="P38" s="284"/>
      <c r="Q38" s="284"/>
    </row>
    <row r="39" spans="2:17" ht="9.75" customHeight="1">
      <c r="B39" s="70"/>
      <c r="C39" s="70"/>
      <c r="D39" s="70"/>
      <c r="E39" s="185" t="s">
        <v>14</v>
      </c>
      <c r="F39" s="185"/>
      <c r="G39" s="196"/>
      <c r="H39" s="196"/>
      <c r="I39" s="82"/>
      <c r="J39" s="337"/>
      <c r="K39" s="337"/>
      <c r="L39" s="284"/>
      <c r="M39" s="284"/>
      <c r="N39" s="284"/>
      <c r="O39" s="284"/>
      <c r="P39" s="284"/>
      <c r="Q39" s="284"/>
    </row>
    <row r="40" spans="2:17">
      <c r="B40" s="70" t="s">
        <v>81</v>
      </c>
      <c r="C40" s="70"/>
      <c r="D40" s="70"/>
      <c r="E40" s="186" t="s">
        <v>80</v>
      </c>
      <c r="F40" s="186"/>
      <c r="G40" s="195" t="s">
        <v>96</v>
      </c>
      <c r="H40" s="195"/>
      <c r="I40" s="70"/>
      <c r="J40" s="336"/>
      <c r="K40" s="336"/>
      <c r="L40" s="284"/>
      <c r="M40" s="284"/>
      <c r="N40" s="284"/>
      <c r="O40" s="284"/>
      <c r="P40" s="284"/>
      <c r="Q40" s="284"/>
    </row>
    <row r="41" spans="2:17" ht="11.25" customHeight="1">
      <c r="B41" s="70"/>
      <c r="C41" s="70"/>
      <c r="D41" s="70"/>
      <c r="E41" s="185" t="s">
        <v>14</v>
      </c>
      <c r="F41" s="185"/>
      <c r="G41" s="195"/>
      <c r="H41" s="195"/>
      <c r="I41" s="70"/>
      <c r="J41" s="336"/>
      <c r="K41" s="336"/>
    </row>
    <row r="42" spans="2:17">
      <c r="B42" s="70" t="s">
        <v>82</v>
      </c>
      <c r="C42" s="70"/>
      <c r="D42" s="70"/>
      <c r="E42" s="186" t="s">
        <v>80</v>
      </c>
      <c r="F42" s="186"/>
      <c r="G42" s="195" t="s">
        <v>98</v>
      </c>
      <c r="H42" s="195"/>
      <c r="I42" s="70"/>
      <c r="J42" s="336"/>
      <c r="K42" s="336"/>
    </row>
    <row r="43" spans="2:17" ht="9" customHeight="1">
      <c r="B43" s="58"/>
      <c r="C43" s="58"/>
      <c r="D43" s="58"/>
      <c r="E43" s="185" t="s">
        <v>14</v>
      </c>
      <c r="F43" s="185"/>
      <c r="G43" s="59"/>
      <c r="H43" s="57"/>
      <c r="I43" s="60"/>
      <c r="J43" s="313"/>
      <c r="K43" s="313"/>
    </row>
    <row r="44" spans="2:17">
      <c r="B44" s="70" t="s">
        <v>83</v>
      </c>
      <c r="C44" s="70"/>
      <c r="D44" s="70"/>
      <c r="E44" s="186" t="s">
        <v>80</v>
      </c>
      <c r="F44" s="186"/>
      <c r="G44" s="195" t="s">
        <v>142</v>
      </c>
      <c r="H44" s="195"/>
    </row>
    <row r="45" spans="2:17" ht="9" customHeight="1">
      <c r="B45" s="8"/>
      <c r="C45" s="8"/>
      <c r="D45" s="8"/>
      <c r="E45" s="185" t="s">
        <v>14</v>
      </c>
      <c r="F45" s="185"/>
      <c r="G45" s="185"/>
      <c r="H45" s="185"/>
    </row>
    <row r="46" spans="2:17">
      <c r="C46" s="12"/>
      <c r="E46" s="61"/>
      <c r="F46" s="61"/>
    </row>
    <row r="47" spans="2:17">
      <c r="C47" s="12"/>
    </row>
    <row r="48" spans="2:17">
      <c r="C48" s="12"/>
    </row>
    <row r="49" spans="3:3">
      <c r="C49" s="12"/>
    </row>
    <row r="50" spans="3:3">
      <c r="C50" s="12"/>
    </row>
    <row r="51" spans="3:3">
      <c r="C51" s="12"/>
    </row>
    <row r="52" spans="3:3">
      <c r="C52" s="12"/>
    </row>
  </sheetData>
  <mergeCells count="46">
    <mergeCell ref="B2:I2"/>
    <mergeCell ref="B3:I3"/>
    <mergeCell ref="B4:I4"/>
    <mergeCell ref="B1:I1"/>
    <mergeCell ref="E44:F44"/>
    <mergeCell ref="G44:H44"/>
    <mergeCell ref="B6:I7"/>
    <mergeCell ref="H37:I37"/>
    <mergeCell ref="E38:F38"/>
    <mergeCell ref="G38:H38"/>
    <mergeCell ref="G39:H39"/>
    <mergeCell ref="F34:G34"/>
    <mergeCell ref="H34:I34"/>
    <mergeCell ref="F36:G36"/>
    <mergeCell ref="F37:G37"/>
    <mergeCell ref="F35:G35"/>
    <mergeCell ref="E45:F45"/>
    <mergeCell ref="G45:H45"/>
    <mergeCell ref="D33:E33"/>
    <mergeCell ref="D34:E34"/>
    <mergeCell ref="D35:E35"/>
    <mergeCell ref="D36:E36"/>
    <mergeCell ref="D37:E37"/>
    <mergeCell ref="E41:F41"/>
    <mergeCell ref="G41:H41"/>
    <mergeCell ref="E42:F42"/>
    <mergeCell ref="G42:H42"/>
    <mergeCell ref="E43:F43"/>
    <mergeCell ref="E39:F39"/>
    <mergeCell ref="E40:F40"/>
    <mergeCell ref="G40:H40"/>
    <mergeCell ref="H36:I36"/>
    <mergeCell ref="H35:I35"/>
    <mergeCell ref="D9:F9"/>
    <mergeCell ref="D16:E16"/>
    <mergeCell ref="B32:I32"/>
    <mergeCell ref="F33:G33"/>
    <mergeCell ref="H33:I33"/>
    <mergeCell ref="B17:I17"/>
    <mergeCell ref="B18:B19"/>
    <mergeCell ref="C18:C19"/>
    <mergeCell ref="D18:D19"/>
    <mergeCell ref="E18:E19"/>
    <mergeCell ref="F18:F19"/>
    <mergeCell ref="I18:I19"/>
    <mergeCell ref="G18:H18"/>
  </mergeCells>
  <printOptions horizontalCentered="1"/>
  <pageMargins left="0.23622047244094491" right="0.19685039370078741" top="0.16" bottom="0.23622047244094491" header="0.16" footer="0.24"/>
  <pageSetup paperSize="9" scale="42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R48"/>
  <sheetViews>
    <sheetView zoomScale="110" zoomScaleNormal="110" workbookViewId="0">
      <selection activeCell="C21" sqref="C21"/>
    </sheetView>
  </sheetViews>
  <sheetFormatPr defaultColWidth="9.140625" defaultRowHeight="15.75" outlineLevelRow="1"/>
  <cols>
    <col min="1" max="1" width="2.85546875" style="2" customWidth="1"/>
    <col min="2" max="2" width="56" style="2" customWidth="1"/>
    <col min="3" max="3" width="12.28515625" style="12" customWidth="1"/>
    <col min="4" max="4" width="7.28515625" style="4" customWidth="1"/>
    <col min="5" max="5" width="9.5703125" style="4" customWidth="1"/>
    <col min="6" max="6" width="9.85546875" style="4" customWidth="1"/>
    <col min="7" max="7" width="9.7109375" style="2" customWidth="1"/>
    <col min="8" max="8" width="10.28515625" style="2" customWidth="1"/>
    <col min="9" max="9" width="10.85546875" style="2" customWidth="1"/>
    <col min="10" max="10" width="11.85546875" style="274" customWidth="1"/>
    <col min="11" max="12" width="9.140625" style="274"/>
    <col min="13" max="13" width="11.42578125" style="274" customWidth="1"/>
    <col min="14" max="14" width="13" style="274" customWidth="1"/>
    <col min="15" max="15" width="14" style="274" customWidth="1"/>
    <col min="16" max="16" width="14.28515625" style="274" customWidth="1"/>
    <col min="17" max="17" width="16" style="274" customWidth="1"/>
    <col min="18" max="18" width="9.140625" style="274"/>
    <col min="19" max="16384" width="9.140625" style="2"/>
  </cols>
  <sheetData>
    <row r="1" spans="1:10">
      <c r="B1" s="168" t="s">
        <v>138</v>
      </c>
      <c r="C1" s="168"/>
      <c r="D1" s="168"/>
      <c r="E1" s="168"/>
      <c r="F1" s="168"/>
      <c r="G1" s="168"/>
      <c r="H1" s="168"/>
      <c r="I1" s="168"/>
    </row>
    <row r="2" spans="1:10">
      <c r="B2" s="168" t="s">
        <v>139</v>
      </c>
      <c r="C2" s="168"/>
      <c r="D2" s="168"/>
      <c r="E2" s="168"/>
      <c r="F2" s="168"/>
      <c r="G2" s="168"/>
      <c r="H2" s="168"/>
      <c r="I2" s="168"/>
    </row>
    <row r="3" spans="1:10">
      <c r="B3" s="168" t="s">
        <v>140</v>
      </c>
      <c r="C3" s="168"/>
      <c r="D3" s="168"/>
      <c r="E3" s="168"/>
      <c r="F3" s="168"/>
      <c r="G3" s="168"/>
      <c r="H3" s="168"/>
      <c r="I3" s="168"/>
    </row>
    <row r="4" spans="1:10">
      <c r="B4" s="168" t="s">
        <v>148</v>
      </c>
      <c r="C4" s="168"/>
      <c r="D4" s="168"/>
      <c r="E4" s="168"/>
      <c r="F4" s="168"/>
      <c r="G4" s="168"/>
      <c r="H4" s="168"/>
      <c r="I4" s="168"/>
    </row>
    <row r="5" spans="1:10" ht="8.25" customHeight="1">
      <c r="B5" s="66"/>
      <c r="C5" s="66"/>
      <c r="D5" s="66"/>
      <c r="E5" s="66"/>
      <c r="F5" s="66"/>
      <c r="G5" s="66"/>
      <c r="H5" s="66"/>
      <c r="I5" s="66"/>
    </row>
    <row r="6" spans="1:10" ht="19.5" customHeight="1">
      <c r="A6" s="158"/>
      <c r="B6" s="200" t="s">
        <v>141</v>
      </c>
      <c r="C6" s="200"/>
      <c r="D6" s="200"/>
      <c r="E6" s="200"/>
      <c r="F6" s="200"/>
      <c r="G6" s="200"/>
      <c r="H6" s="200"/>
      <c r="I6" s="200"/>
    </row>
    <row r="7" spans="1:10" ht="20.25" customHeight="1">
      <c r="A7" s="158"/>
      <c r="B7" s="200"/>
      <c r="C7" s="200"/>
      <c r="D7" s="200"/>
      <c r="E7" s="200"/>
      <c r="F7" s="200"/>
      <c r="G7" s="200"/>
      <c r="H7" s="200"/>
      <c r="I7" s="200"/>
    </row>
    <row r="8" spans="1:10" ht="8.25" customHeight="1"/>
    <row r="9" spans="1:10">
      <c r="B9" s="6" t="s">
        <v>0</v>
      </c>
      <c r="C9" s="62"/>
      <c r="D9" s="207" t="s">
        <v>76</v>
      </c>
      <c r="E9" s="207"/>
      <c r="F9" s="207"/>
    </row>
    <row r="10" spans="1:10">
      <c r="B10" s="6" t="s">
        <v>1</v>
      </c>
      <c r="C10" s="62"/>
      <c r="D10" s="63">
        <v>1967</v>
      </c>
      <c r="E10" s="63"/>
      <c r="F10" s="63"/>
    </row>
    <row r="11" spans="1:10" hidden="1" outlineLevel="1">
      <c r="B11" s="6" t="s">
        <v>2</v>
      </c>
      <c r="C11" s="62"/>
      <c r="D11" s="63">
        <v>4</v>
      </c>
      <c r="E11" s="63"/>
      <c r="F11" s="63"/>
    </row>
    <row r="12" spans="1:10" hidden="1" outlineLevel="1">
      <c r="B12" s="6" t="s">
        <v>3</v>
      </c>
      <c r="C12" s="62"/>
      <c r="D12" s="63">
        <v>60</v>
      </c>
      <c r="E12" s="63"/>
      <c r="F12" s="63"/>
    </row>
    <row r="13" spans="1:10" ht="30.75" hidden="1" customHeight="1" outlineLevel="1">
      <c r="B13" s="64" t="s">
        <v>4</v>
      </c>
      <c r="C13" s="65"/>
      <c r="D13" s="63" t="s">
        <v>77</v>
      </c>
      <c r="E13" s="63"/>
      <c r="F13" s="63"/>
    </row>
    <row r="14" spans="1:10" collapsed="1">
      <c r="B14" s="6" t="s">
        <v>5</v>
      </c>
      <c r="C14" s="62"/>
      <c r="D14" s="63" t="s">
        <v>163</v>
      </c>
      <c r="E14" s="63"/>
      <c r="F14" s="63"/>
      <c r="J14" s="276"/>
    </row>
    <row r="15" spans="1:10">
      <c r="B15" s="6" t="s">
        <v>6</v>
      </c>
      <c r="C15" s="62"/>
      <c r="D15" s="63" t="s">
        <v>165</v>
      </c>
      <c r="E15" s="63"/>
      <c r="F15" s="63"/>
    </row>
    <row r="16" spans="1:10" ht="30.75" hidden="1" customHeight="1" outlineLevel="1">
      <c r="B16" s="14" t="s">
        <v>8</v>
      </c>
      <c r="C16" s="15"/>
      <c r="D16" s="208" t="s">
        <v>78</v>
      </c>
      <c r="E16" s="208"/>
      <c r="F16" s="13"/>
      <c r="J16" s="276"/>
    </row>
    <row r="17" spans="2:18" ht="24" customHeight="1" collapsed="1" thickBot="1">
      <c r="B17" s="215" t="s">
        <v>144</v>
      </c>
      <c r="C17" s="215"/>
      <c r="D17" s="215"/>
      <c r="E17" s="215"/>
      <c r="F17" s="215"/>
      <c r="G17" s="215"/>
      <c r="H17" s="215"/>
      <c r="I17" s="215"/>
      <c r="J17" s="329"/>
      <c r="K17" s="329"/>
      <c r="M17" s="276"/>
      <c r="N17" s="277" t="s">
        <v>99</v>
      </c>
      <c r="O17" s="277" t="s">
        <v>100</v>
      </c>
      <c r="P17" s="277" t="s">
        <v>101</v>
      </c>
      <c r="Q17" s="277" t="s">
        <v>102</v>
      </c>
    </row>
    <row r="18" spans="2:18" ht="31.5" customHeight="1">
      <c r="B18" s="224" t="s">
        <v>97</v>
      </c>
      <c r="C18" s="218" t="s">
        <v>103</v>
      </c>
      <c r="D18" s="218" t="s">
        <v>121</v>
      </c>
      <c r="E18" s="175" t="s">
        <v>147</v>
      </c>
      <c r="F18" s="210" t="s">
        <v>146</v>
      </c>
      <c r="G18" s="213" t="s">
        <v>104</v>
      </c>
      <c r="H18" s="214"/>
      <c r="I18" s="201" t="s">
        <v>151</v>
      </c>
      <c r="J18" s="330"/>
      <c r="K18" s="330"/>
      <c r="M18" s="276"/>
      <c r="N18" s="277"/>
      <c r="O18" s="277"/>
      <c r="P18" s="277"/>
      <c r="Q18" s="277"/>
    </row>
    <row r="19" spans="2:18" ht="63.75" customHeight="1" thickBot="1">
      <c r="B19" s="225"/>
      <c r="C19" s="219"/>
      <c r="D19" s="219"/>
      <c r="E19" s="176"/>
      <c r="F19" s="211"/>
      <c r="G19" s="16" t="s">
        <v>84</v>
      </c>
      <c r="H19" s="17" t="s">
        <v>85</v>
      </c>
      <c r="I19" s="202"/>
      <c r="J19" s="330"/>
      <c r="K19" s="330"/>
      <c r="N19" s="282">
        <f>140755.19+O21*6</f>
        <v>151261.02637288137</v>
      </c>
      <c r="O19" s="282">
        <f>146364.36+O21*4</f>
        <v>153368.25091525423</v>
      </c>
      <c r="P19" s="278">
        <f>130144.92*1.05</f>
        <v>136652.166</v>
      </c>
      <c r="Q19" s="282">
        <f>148331.9*1.05</f>
        <v>155748.495</v>
      </c>
    </row>
    <row r="20" spans="2:18" ht="49.5" customHeight="1">
      <c r="B20" s="18" t="s">
        <v>89</v>
      </c>
      <c r="C20" s="19" t="s">
        <v>105</v>
      </c>
      <c r="D20" s="20" t="s">
        <v>106</v>
      </c>
      <c r="E20" s="21">
        <v>1.05</v>
      </c>
      <c r="F20" s="21">
        <v>1.06</v>
      </c>
      <c r="G20" s="22">
        <f>($N$19/$N$20*E20)+($O$19/$O$20*F20)</f>
        <v>32300.947101677884</v>
      </c>
      <c r="H20" s="23">
        <f>($P$19/$P$20*E20)+($Q$19/$Q$20*F20)</f>
        <v>31012.882311557783</v>
      </c>
      <c r="I20" s="24">
        <f>G20-H20</f>
        <v>1288.064790120101</v>
      </c>
      <c r="J20" s="331"/>
      <c r="K20" s="331"/>
      <c r="L20" s="280"/>
      <c r="M20" s="281"/>
      <c r="N20" s="282">
        <f>E30-E28-E26</f>
        <v>9.9500000000000011</v>
      </c>
      <c r="O20" s="282">
        <f>F30-F28-F26</f>
        <v>9.9500000000000011</v>
      </c>
      <c r="P20" s="282">
        <f>E30-E28-E26</f>
        <v>9.9500000000000011</v>
      </c>
      <c r="Q20" s="282">
        <f>F30-F28-F26</f>
        <v>9.9500000000000011</v>
      </c>
    </row>
    <row r="21" spans="2:18" ht="51">
      <c r="B21" s="26" t="s">
        <v>93</v>
      </c>
      <c r="C21" s="19" t="s">
        <v>105</v>
      </c>
      <c r="D21" s="20" t="s">
        <v>106</v>
      </c>
      <c r="E21" s="27">
        <v>1.17</v>
      </c>
      <c r="F21" s="27">
        <v>1.19</v>
      </c>
      <c r="G21" s="22">
        <f t="shared" ref="G21:G29" si="0">($N$19/$N$20*E21)+($O$19/$O$20*F21)</f>
        <v>36129.006979439568</v>
      </c>
      <c r="H21" s="23">
        <f t="shared" ref="H21:H25" si="1">($P$19/$P$20*E21)+($Q$19/$Q$20*F21)</f>
        <v>34695.853594974869</v>
      </c>
      <c r="I21" s="24">
        <f t="shared" ref="I21:I27" si="2">G21-H21</f>
        <v>1433.1533844646983</v>
      </c>
      <c r="J21" s="331"/>
      <c r="K21" s="331"/>
      <c r="L21" s="284"/>
      <c r="M21" s="296" t="s">
        <v>166</v>
      </c>
      <c r="N21" s="297">
        <f>N22-N23</f>
        <v>17509.727288135593</v>
      </c>
      <c r="O21" s="297">
        <f>N21/10</f>
        <v>1750.9727288135593</v>
      </c>
      <c r="P21" s="297">
        <f>P22-P23</f>
        <v>11495.050169491526</v>
      </c>
      <c r="Q21" s="297">
        <f>P21/10</f>
        <v>1149.5050169491526</v>
      </c>
    </row>
    <row r="22" spans="2:18" ht="54.75" customHeight="1">
      <c r="B22" s="30" t="s">
        <v>86</v>
      </c>
      <c r="C22" s="19" t="s">
        <v>105</v>
      </c>
      <c r="D22" s="20" t="s">
        <v>106</v>
      </c>
      <c r="E22" s="27">
        <v>0.27</v>
      </c>
      <c r="F22" s="27">
        <v>0.32</v>
      </c>
      <c r="G22" s="22">
        <f t="shared" si="0"/>
        <v>9037.0168254833479</v>
      </c>
      <c r="H22" s="23">
        <f t="shared" si="1"/>
        <v>8717.1460522613052</v>
      </c>
      <c r="I22" s="24">
        <f t="shared" si="2"/>
        <v>319.87077322204277</v>
      </c>
      <c r="J22" s="331"/>
      <c r="K22" s="331"/>
      <c r="M22" s="296" t="s">
        <v>164</v>
      </c>
      <c r="N22" s="296">
        <f>13921.6+12298.55</f>
        <v>26220.15</v>
      </c>
      <c r="O22" s="296"/>
      <c r="P22" s="296">
        <f>3796.8+13416.6</f>
        <v>17213.400000000001</v>
      </c>
      <c r="Q22" s="296"/>
      <c r="R22" s="296"/>
    </row>
    <row r="23" spans="2:18" ht="25.5">
      <c r="B23" s="30" t="s">
        <v>87</v>
      </c>
      <c r="C23" s="32" t="s">
        <v>107</v>
      </c>
      <c r="D23" s="20" t="s">
        <v>106</v>
      </c>
      <c r="E23" s="27">
        <v>0.18</v>
      </c>
      <c r="F23" s="27">
        <v>0.24</v>
      </c>
      <c r="G23" s="22">
        <f t="shared" si="0"/>
        <v>6435.715072038156</v>
      </c>
      <c r="H23" s="23">
        <f t="shared" si="1"/>
        <v>6228.8471035175862</v>
      </c>
      <c r="I23" s="24">
        <f t="shared" si="2"/>
        <v>206.86796852056978</v>
      </c>
      <c r="J23" s="331"/>
      <c r="K23" s="331"/>
      <c r="M23" s="297" t="s">
        <v>167</v>
      </c>
      <c r="N23" s="297">
        <f>N22/14.75*4.9</f>
        <v>8710.4227118644085</v>
      </c>
      <c r="O23" s="296"/>
      <c r="P23" s="297">
        <f>P22/14.75*4.9</f>
        <v>5718.3498305084759</v>
      </c>
      <c r="Q23" s="296"/>
      <c r="R23" s="296"/>
    </row>
    <row r="24" spans="2:18" ht="51">
      <c r="B24" s="26" t="s">
        <v>90</v>
      </c>
      <c r="C24" s="19" t="s">
        <v>170</v>
      </c>
      <c r="D24" s="20" t="s">
        <v>106</v>
      </c>
      <c r="E24" s="27">
        <v>1.33</v>
      </c>
      <c r="F24" s="27">
        <v>1.18</v>
      </c>
      <c r="G24" s="22">
        <f t="shared" si="0"/>
        <v>38407.206146324839</v>
      </c>
      <c r="H24" s="23">
        <f t="shared" si="1"/>
        <v>36736.744209045224</v>
      </c>
      <c r="I24" s="24">
        <f t="shared" si="2"/>
        <v>1670.4619372796151</v>
      </c>
      <c r="J24" s="331"/>
      <c r="K24" s="331"/>
    </row>
    <row r="25" spans="2:18" ht="216.75" customHeight="1">
      <c r="B25" s="26" t="s">
        <v>145</v>
      </c>
      <c r="C25" s="19" t="s">
        <v>109</v>
      </c>
      <c r="D25" s="20" t="s">
        <v>106</v>
      </c>
      <c r="E25" s="27">
        <v>5.6</v>
      </c>
      <c r="F25" s="27">
        <v>5.61</v>
      </c>
      <c r="G25" s="22">
        <f t="shared" si="0"/>
        <v>171603.78244449364</v>
      </c>
      <c r="H25" s="23">
        <f t="shared" si="1"/>
        <v>164723.7373417085</v>
      </c>
      <c r="I25" s="24">
        <f t="shared" si="2"/>
        <v>6880.0451027851377</v>
      </c>
      <c r="J25" s="331"/>
      <c r="K25" s="331"/>
      <c r="L25" s="284"/>
      <c r="M25" s="285"/>
      <c r="N25" s="284"/>
      <c r="O25" s="284"/>
      <c r="P25" s="284"/>
      <c r="Q25" s="284"/>
    </row>
    <row r="26" spans="2:18" ht="29.25" customHeight="1">
      <c r="B26" s="30" t="s">
        <v>108</v>
      </c>
      <c r="C26" s="19" t="s">
        <v>107</v>
      </c>
      <c r="D26" s="20" t="s">
        <v>106</v>
      </c>
      <c r="E26" s="27">
        <v>2</v>
      </c>
      <c r="F26" s="27">
        <v>2</v>
      </c>
      <c r="G26" s="22">
        <v>56222</v>
      </c>
      <c r="H26" s="28">
        <v>46751.67</v>
      </c>
      <c r="I26" s="24">
        <f>H26-G26</f>
        <v>-9470.3300000000017</v>
      </c>
      <c r="J26" s="331"/>
      <c r="K26" s="331"/>
    </row>
    <row r="27" spans="2:18" ht="102">
      <c r="B27" s="26" t="s">
        <v>111</v>
      </c>
      <c r="C27" s="19" t="s">
        <v>105</v>
      </c>
      <c r="D27" s="20" t="s">
        <v>106</v>
      </c>
      <c r="E27" s="27">
        <v>0.21</v>
      </c>
      <c r="F27" s="27">
        <v>0.24</v>
      </c>
      <c r="G27" s="22">
        <f t="shared" si="0"/>
        <v>6891.7784681372959</v>
      </c>
      <c r="H27" s="23">
        <f>($P$19/$P$20*E27)+($Q$19/$Q$20*F27)</f>
        <v>6640.8636844221091</v>
      </c>
      <c r="I27" s="24">
        <f t="shared" si="2"/>
        <v>250.91478371518679</v>
      </c>
      <c r="J27" s="331"/>
      <c r="K27" s="331"/>
    </row>
    <row r="28" spans="2:18" ht="57" customHeight="1">
      <c r="B28" s="30" t="s">
        <v>94</v>
      </c>
      <c r="C28" s="19" t="s">
        <v>105</v>
      </c>
      <c r="D28" s="20" t="s">
        <v>106</v>
      </c>
      <c r="E28" s="27">
        <v>4.9000000000000004</v>
      </c>
      <c r="F28" s="27">
        <v>4.9000000000000004</v>
      </c>
      <c r="G28" s="22">
        <f>141395.56+N23</f>
        <v>150105.9827118644</v>
      </c>
      <c r="H28" s="28">
        <v>92167</v>
      </c>
      <c r="I28" s="24">
        <f>G28-H28</f>
        <v>57938.982711864403</v>
      </c>
      <c r="J28" s="331"/>
      <c r="K28" s="331"/>
      <c r="M28" s="276"/>
    </row>
    <row r="29" spans="2:18" ht="16.5" thickBot="1">
      <c r="B29" s="69" t="s">
        <v>88</v>
      </c>
      <c r="C29" s="34" t="s">
        <v>109</v>
      </c>
      <c r="D29" s="35" t="s">
        <v>106</v>
      </c>
      <c r="E29" s="36">
        <v>0.14000000000000001</v>
      </c>
      <c r="F29" s="36">
        <v>0.11</v>
      </c>
      <c r="G29" s="37">
        <f t="shared" si="0"/>
        <v>3823.8242505408398</v>
      </c>
      <c r="H29" s="73">
        <f t="shared" ref="H29" si="3">($P$19/$P$20*E29)+($Q$19/$Q$20*F29)</f>
        <v>3644.5867025125626</v>
      </c>
      <c r="I29" s="24">
        <f>G29-H29</f>
        <v>179.23754802827716</v>
      </c>
      <c r="J29" s="331"/>
      <c r="K29" s="331"/>
    </row>
    <row r="30" spans="2:18" ht="16.5" thickBot="1">
      <c r="B30" s="39" t="s">
        <v>92</v>
      </c>
      <c r="C30" s="40"/>
      <c r="D30" s="40"/>
      <c r="E30" s="41">
        <f>SUM(E20:E29)</f>
        <v>16.850000000000001</v>
      </c>
      <c r="F30" s="42">
        <f>SUM(F20:F29)</f>
        <v>16.850000000000001</v>
      </c>
      <c r="G30" s="43">
        <f>SUM(G20:G29)</f>
        <v>510957.25999999995</v>
      </c>
      <c r="H30" s="44">
        <f>SUM(H20:H29)</f>
        <v>431319.33099999995</v>
      </c>
      <c r="I30" s="45">
        <f>SUM(I20:I29)</f>
        <v>60697.269000000029</v>
      </c>
      <c r="J30" s="332"/>
      <c r="K30" s="332"/>
    </row>
    <row r="31" spans="2:18">
      <c r="B31" s="5"/>
      <c r="C31" s="5"/>
      <c r="D31" s="5"/>
      <c r="E31" s="12"/>
      <c r="F31" s="12"/>
      <c r="G31" s="12"/>
      <c r="H31" s="12"/>
      <c r="I31" s="4"/>
      <c r="J31" s="292"/>
      <c r="K31" s="292"/>
    </row>
    <row r="32" spans="2:18" ht="16.5" customHeight="1" thickBot="1">
      <c r="B32" s="177" t="s">
        <v>143</v>
      </c>
      <c r="C32" s="177"/>
      <c r="D32" s="177"/>
      <c r="E32" s="177"/>
      <c r="F32" s="177"/>
      <c r="G32" s="177"/>
      <c r="H32" s="177"/>
      <c r="I32" s="177"/>
      <c r="J32" s="333"/>
      <c r="K32" s="333"/>
    </row>
    <row r="33" spans="2:17" ht="44.25" customHeight="1">
      <c r="B33" s="46"/>
      <c r="C33" s="47"/>
      <c r="D33" s="182" t="s">
        <v>110</v>
      </c>
      <c r="E33" s="183"/>
      <c r="F33" s="171" t="s">
        <v>9</v>
      </c>
      <c r="G33" s="172"/>
      <c r="H33" s="171" t="s">
        <v>10</v>
      </c>
      <c r="I33" s="223"/>
      <c r="J33" s="334"/>
      <c r="K33" s="334"/>
      <c r="L33" s="290" t="s">
        <v>152</v>
      </c>
      <c r="M33" s="291"/>
      <c r="N33" s="292"/>
      <c r="O33" s="292"/>
      <c r="P33" s="292"/>
      <c r="Q33" s="292"/>
    </row>
    <row r="34" spans="2:17">
      <c r="B34" s="48" t="s">
        <v>11</v>
      </c>
      <c r="C34" s="49"/>
      <c r="D34" s="169">
        <f>F34+H34</f>
        <v>510957.26</v>
      </c>
      <c r="E34" s="184"/>
      <c r="F34" s="169">
        <f>287119.55+56222+N21</f>
        <v>360851.27728813561</v>
      </c>
      <c r="G34" s="184"/>
      <c r="H34" s="169">
        <f>G28</f>
        <v>150105.9827118644</v>
      </c>
      <c r="I34" s="180"/>
      <c r="J34" s="335"/>
      <c r="K34" s="335"/>
      <c r="L34" s="295">
        <v>164344.95000000001</v>
      </c>
      <c r="M34" s="295">
        <v>649382.06000000006</v>
      </c>
      <c r="N34" s="296">
        <f>M34-L34+N22</f>
        <v>511257.26000000007</v>
      </c>
      <c r="O34" s="297">
        <f>N34-D34</f>
        <v>300.00000000005821</v>
      </c>
    </row>
    <row r="35" spans="2:17">
      <c r="B35" s="48" t="s">
        <v>12</v>
      </c>
      <c r="C35" s="49"/>
      <c r="D35" s="169">
        <f>F35+H35</f>
        <v>420431.97</v>
      </c>
      <c r="E35" s="184"/>
      <c r="F35" s="169">
        <f>238844.8+46751.67+P21</f>
        <v>297091.52016949147</v>
      </c>
      <c r="G35" s="184"/>
      <c r="H35" s="169">
        <f>117622.1+P23</f>
        <v>123340.44983050849</v>
      </c>
      <c r="I35" s="180"/>
      <c r="J35" s="335"/>
      <c r="K35" s="335"/>
      <c r="L35" s="299">
        <v>2271.31</v>
      </c>
      <c r="M35" s="295">
        <v>405489.88</v>
      </c>
      <c r="N35" s="297">
        <f>M35-L35+P22</f>
        <v>420431.97000000003</v>
      </c>
      <c r="O35" s="297">
        <f>N35-D35</f>
        <v>0</v>
      </c>
    </row>
    <row r="36" spans="2:17" ht="16.5" thickBot="1">
      <c r="B36" s="51" t="s">
        <v>91</v>
      </c>
      <c r="C36" s="52"/>
      <c r="D36" s="187">
        <f>F36+H36</f>
        <v>431319.33099999995</v>
      </c>
      <c r="E36" s="189"/>
      <c r="F36" s="269">
        <f>H20+H21+H22+H23+H24+H25+H26+H27+H29</f>
        <v>339152.33099999995</v>
      </c>
      <c r="G36" s="270"/>
      <c r="H36" s="269">
        <f>H28</f>
        <v>92167</v>
      </c>
      <c r="I36" s="272"/>
      <c r="J36" s="335"/>
      <c r="K36" s="335"/>
      <c r="L36" s="286"/>
      <c r="M36" s="286"/>
    </row>
    <row r="37" spans="2:17" ht="33" customHeight="1" thickBot="1">
      <c r="B37" s="53" t="s">
        <v>156</v>
      </c>
      <c r="C37" s="54"/>
      <c r="D37" s="198">
        <f>F37+H37</f>
        <v>-10887.36099999999</v>
      </c>
      <c r="E37" s="199"/>
      <c r="F37" s="191">
        <f>F35-F36</f>
        <v>-42060.810830508475</v>
      </c>
      <c r="G37" s="221"/>
      <c r="H37" s="267">
        <f>H35-H36</f>
        <v>31173.449830508485</v>
      </c>
      <c r="I37" s="268"/>
      <c r="J37" s="335"/>
      <c r="K37" s="335"/>
      <c r="L37" s="286"/>
      <c r="M37" s="286"/>
    </row>
    <row r="38" spans="2:17" ht="32.25" customHeight="1">
      <c r="B38" s="70" t="s">
        <v>79</v>
      </c>
      <c r="C38" s="70"/>
      <c r="D38" s="70"/>
      <c r="E38" s="271" t="s">
        <v>80</v>
      </c>
      <c r="F38" s="271"/>
      <c r="G38" s="195" t="s">
        <v>13</v>
      </c>
      <c r="H38" s="195"/>
      <c r="I38" s="70"/>
      <c r="J38" s="336"/>
      <c r="K38" s="336"/>
      <c r="L38" s="284"/>
      <c r="M38" s="284"/>
      <c r="N38" s="284"/>
      <c r="O38" s="284"/>
      <c r="P38" s="284"/>
      <c r="Q38" s="284"/>
    </row>
    <row r="39" spans="2:17" ht="10.5" customHeight="1">
      <c r="B39" s="70"/>
      <c r="C39" s="70"/>
      <c r="D39" s="70"/>
      <c r="E39" s="185" t="s">
        <v>14</v>
      </c>
      <c r="F39" s="185"/>
      <c r="G39" s="196"/>
      <c r="H39" s="196"/>
      <c r="I39" s="82"/>
      <c r="J39" s="337"/>
      <c r="K39" s="337"/>
      <c r="L39" s="284"/>
      <c r="M39" s="284"/>
      <c r="N39" s="284"/>
      <c r="O39" s="284"/>
      <c r="P39" s="284"/>
      <c r="Q39" s="284"/>
    </row>
    <row r="40" spans="2:17">
      <c r="B40" s="70" t="s">
        <v>81</v>
      </c>
      <c r="C40" s="70"/>
      <c r="D40" s="70"/>
      <c r="E40" s="186" t="s">
        <v>80</v>
      </c>
      <c r="F40" s="186"/>
      <c r="G40" s="195" t="s">
        <v>96</v>
      </c>
      <c r="H40" s="195"/>
      <c r="I40" s="70"/>
      <c r="J40" s="336"/>
      <c r="K40" s="336"/>
      <c r="L40" s="284"/>
      <c r="M40" s="284"/>
      <c r="N40" s="284"/>
      <c r="O40" s="284"/>
      <c r="P40" s="284"/>
      <c r="Q40" s="284"/>
    </row>
    <row r="41" spans="2:17" ht="10.5" customHeight="1">
      <c r="B41" s="70"/>
      <c r="C41" s="70"/>
      <c r="D41" s="70"/>
      <c r="E41" s="185" t="s">
        <v>14</v>
      </c>
      <c r="F41" s="185"/>
      <c r="G41" s="195"/>
      <c r="H41" s="195"/>
      <c r="I41" s="70"/>
      <c r="J41" s="336"/>
      <c r="K41" s="336"/>
    </row>
    <row r="42" spans="2:17">
      <c r="B42" s="70" t="s">
        <v>82</v>
      </c>
      <c r="C42" s="70"/>
      <c r="D42" s="70"/>
      <c r="E42" s="186" t="s">
        <v>80</v>
      </c>
      <c r="F42" s="186"/>
      <c r="G42" s="195" t="s">
        <v>98</v>
      </c>
      <c r="H42" s="195"/>
      <c r="I42" s="70"/>
      <c r="J42" s="336"/>
      <c r="K42" s="336"/>
    </row>
    <row r="43" spans="2:17" ht="10.5" customHeight="1">
      <c r="B43" s="58"/>
      <c r="C43" s="58"/>
      <c r="D43" s="58"/>
      <c r="E43" s="185" t="s">
        <v>14</v>
      </c>
      <c r="F43" s="185"/>
      <c r="G43" s="59"/>
      <c r="H43" s="57"/>
      <c r="I43" s="60"/>
      <c r="J43" s="313"/>
      <c r="K43" s="313"/>
    </row>
    <row r="44" spans="2:17">
      <c r="B44" s="70" t="s">
        <v>83</v>
      </c>
      <c r="C44" s="70"/>
      <c r="D44" s="70"/>
      <c r="E44" s="186" t="s">
        <v>80</v>
      </c>
      <c r="F44" s="186"/>
      <c r="G44" s="195" t="s">
        <v>142</v>
      </c>
      <c r="H44" s="195"/>
    </row>
    <row r="45" spans="2:17" ht="9" customHeight="1">
      <c r="B45" s="8"/>
      <c r="C45" s="8"/>
      <c r="D45" s="8"/>
      <c r="E45" s="185" t="s">
        <v>14</v>
      </c>
      <c r="F45" s="185"/>
      <c r="G45" s="185"/>
      <c r="H45" s="185"/>
    </row>
    <row r="46" spans="2:17">
      <c r="E46" s="61"/>
      <c r="F46" s="61"/>
    </row>
    <row r="48" spans="2:17">
      <c r="B48" s="2" t="s">
        <v>136</v>
      </c>
    </row>
  </sheetData>
  <mergeCells count="46">
    <mergeCell ref="B2:I2"/>
    <mergeCell ref="B3:I3"/>
    <mergeCell ref="B4:I4"/>
    <mergeCell ref="E39:F39"/>
    <mergeCell ref="B1:I1"/>
    <mergeCell ref="D33:E33"/>
    <mergeCell ref="D34:E34"/>
    <mergeCell ref="D35:E35"/>
    <mergeCell ref="D36:E36"/>
    <mergeCell ref="H36:I36"/>
    <mergeCell ref="B32:I32"/>
    <mergeCell ref="D9:F9"/>
    <mergeCell ref="D16:E16"/>
    <mergeCell ref="B17:I17"/>
    <mergeCell ref="B18:B19"/>
    <mergeCell ref="C18:C19"/>
    <mergeCell ref="D18:D19"/>
    <mergeCell ref="E18:E19"/>
    <mergeCell ref="F18:F19"/>
    <mergeCell ref="E40:F40"/>
    <mergeCell ref="G40:H40"/>
    <mergeCell ref="D37:E37"/>
    <mergeCell ref="H37:I37"/>
    <mergeCell ref="E38:F38"/>
    <mergeCell ref="G38:H38"/>
    <mergeCell ref="E41:F41"/>
    <mergeCell ref="G41:H41"/>
    <mergeCell ref="E42:F42"/>
    <mergeCell ref="G42:H42"/>
    <mergeCell ref="E43:F43"/>
    <mergeCell ref="E44:F44"/>
    <mergeCell ref="G44:H44"/>
    <mergeCell ref="E45:F45"/>
    <mergeCell ref="G45:H45"/>
    <mergeCell ref="B6:I7"/>
    <mergeCell ref="G18:H18"/>
    <mergeCell ref="I18:I19"/>
    <mergeCell ref="G39:H39"/>
    <mergeCell ref="F36:G36"/>
    <mergeCell ref="F37:G37"/>
    <mergeCell ref="F33:G33"/>
    <mergeCell ref="H33:I33"/>
    <mergeCell ref="F34:G34"/>
    <mergeCell ref="H34:I34"/>
    <mergeCell ref="H35:I35"/>
    <mergeCell ref="F35:G35"/>
  </mergeCells>
  <printOptions horizontalCentered="1"/>
  <pageMargins left="0.19685039370078741" right="0.19685039370078741" top="0.17" bottom="0.17" header="0.17" footer="0.24"/>
  <pageSetup paperSize="9" scale="44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N18:O18"/>
  <sheetViews>
    <sheetView workbookViewId="0">
      <selection activeCell="B32" sqref="B32"/>
    </sheetView>
  </sheetViews>
  <sheetFormatPr defaultRowHeight="15"/>
  <cols>
    <col min="14" max="14" width="12.140625" customWidth="1"/>
    <col min="15" max="15" width="10.5703125" bestFit="1" customWidth="1"/>
  </cols>
  <sheetData>
    <row r="18" spans="14:15">
      <c r="N18" s="1"/>
      <c r="O18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R49"/>
  <sheetViews>
    <sheetView zoomScale="110" zoomScaleNormal="110" workbookViewId="0">
      <selection activeCell="N21" sqref="N21"/>
    </sheetView>
  </sheetViews>
  <sheetFormatPr defaultColWidth="9.140625" defaultRowHeight="15.75" outlineLevelRow="1"/>
  <cols>
    <col min="1" max="1" width="2.85546875" style="2" customWidth="1"/>
    <col min="2" max="2" width="55.42578125" style="2" customWidth="1"/>
    <col min="3" max="3" width="12" style="12" customWidth="1"/>
    <col min="4" max="4" width="8.85546875" style="4" customWidth="1"/>
    <col min="5" max="5" width="10.28515625" style="4" customWidth="1"/>
    <col min="6" max="6" width="9.85546875" style="4" customWidth="1"/>
    <col min="7" max="7" width="9.85546875" style="2" customWidth="1"/>
    <col min="8" max="8" width="10.28515625" style="2" customWidth="1"/>
    <col min="9" max="9" width="10.5703125" style="2" customWidth="1"/>
    <col min="10" max="10" width="11.85546875" style="274" customWidth="1"/>
    <col min="11" max="13" width="9.140625" style="274"/>
    <col min="14" max="14" width="20.5703125" style="274" customWidth="1"/>
    <col min="15" max="15" width="17.140625" style="274" customWidth="1"/>
    <col min="16" max="17" width="15.7109375" style="274" customWidth="1"/>
    <col min="18" max="18" width="9.140625" style="274"/>
    <col min="19" max="16384" width="9.140625" style="2"/>
  </cols>
  <sheetData>
    <row r="1" spans="1:10">
      <c r="B1" s="168" t="s">
        <v>138</v>
      </c>
      <c r="C1" s="168"/>
      <c r="D1" s="168"/>
      <c r="E1" s="168"/>
      <c r="F1" s="168"/>
      <c r="G1" s="168"/>
      <c r="H1" s="168"/>
      <c r="I1" s="168"/>
    </row>
    <row r="2" spans="1:10">
      <c r="B2" s="168" t="s">
        <v>139</v>
      </c>
      <c r="C2" s="168"/>
      <c r="D2" s="168"/>
      <c r="E2" s="168"/>
      <c r="F2" s="168"/>
      <c r="G2" s="168"/>
      <c r="H2" s="168"/>
      <c r="I2" s="168"/>
    </row>
    <row r="3" spans="1:10">
      <c r="B3" s="168" t="s">
        <v>140</v>
      </c>
      <c r="C3" s="168"/>
      <c r="D3" s="168"/>
      <c r="E3" s="168"/>
      <c r="F3" s="168"/>
      <c r="G3" s="168"/>
      <c r="H3" s="168"/>
      <c r="I3" s="168"/>
    </row>
    <row r="4" spans="1:10">
      <c r="B4" s="168" t="s">
        <v>148</v>
      </c>
      <c r="C4" s="168"/>
      <c r="D4" s="168"/>
      <c r="E4" s="168"/>
      <c r="F4" s="168"/>
      <c r="G4" s="168"/>
      <c r="H4" s="168"/>
      <c r="I4" s="168"/>
    </row>
    <row r="5" spans="1:10" ht="8.25" customHeight="1">
      <c r="B5" s="7"/>
      <c r="C5" s="7"/>
      <c r="D5" s="7"/>
      <c r="E5" s="7"/>
      <c r="F5" s="7"/>
      <c r="G5" s="7"/>
      <c r="H5" s="7"/>
      <c r="I5" s="7"/>
    </row>
    <row r="6" spans="1:10" ht="15.75" customHeight="1">
      <c r="A6" s="11"/>
      <c r="B6" s="200" t="s">
        <v>141</v>
      </c>
      <c r="C6" s="200"/>
      <c r="D6" s="200"/>
      <c r="E6" s="200"/>
      <c r="F6" s="200"/>
      <c r="G6" s="200"/>
      <c r="H6" s="200"/>
      <c r="I6" s="200"/>
    </row>
    <row r="7" spans="1:10" ht="21.75" customHeight="1">
      <c r="A7" s="11"/>
      <c r="B7" s="200"/>
      <c r="C7" s="200"/>
      <c r="D7" s="200"/>
      <c r="E7" s="200"/>
      <c r="F7" s="200"/>
      <c r="G7" s="200"/>
      <c r="H7" s="200"/>
      <c r="I7" s="200"/>
    </row>
    <row r="8" spans="1:10" ht="9.75" customHeight="1"/>
    <row r="9" spans="1:10">
      <c r="B9" s="6" t="s">
        <v>0</v>
      </c>
      <c r="C9" s="62"/>
      <c r="D9" s="207" t="s">
        <v>21</v>
      </c>
      <c r="E9" s="207"/>
      <c r="F9" s="207"/>
    </row>
    <row r="10" spans="1:10">
      <c r="B10" s="6" t="s">
        <v>1</v>
      </c>
      <c r="C10" s="62"/>
      <c r="D10" s="63">
        <v>1990</v>
      </c>
      <c r="E10" s="63"/>
      <c r="F10" s="63"/>
    </row>
    <row r="11" spans="1:10" hidden="1" outlineLevel="1">
      <c r="B11" s="6" t="s">
        <v>2</v>
      </c>
      <c r="C11" s="62"/>
      <c r="D11" s="63">
        <v>5</v>
      </c>
      <c r="E11" s="63"/>
      <c r="F11" s="63"/>
    </row>
    <row r="12" spans="1:10" hidden="1" outlineLevel="1">
      <c r="B12" s="6" t="s">
        <v>3</v>
      </c>
      <c r="C12" s="62"/>
      <c r="D12" s="63">
        <v>62</v>
      </c>
      <c r="E12" s="63"/>
      <c r="F12" s="63"/>
    </row>
    <row r="13" spans="1:10" ht="30.75" hidden="1" customHeight="1" outlineLevel="1">
      <c r="B13" s="64" t="s">
        <v>4</v>
      </c>
      <c r="C13" s="65"/>
      <c r="D13" s="63" t="s">
        <v>22</v>
      </c>
      <c r="E13" s="63"/>
      <c r="F13" s="63"/>
    </row>
    <row r="14" spans="1:10" collapsed="1">
      <c r="B14" s="6" t="s">
        <v>5</v>
      </c>
      <c r="C14" s="62"/>
      <c r="D14" s="63" t="s">
        <v>112</v>
      </c>
      <c r="E14" s="63"/>
      <c r="F14" s="63"/>
      <c r="J14" s="276"/>
    </row>
    <row r="15" spans="1:10" hidden="1" outlineLevel="1">
      <c r="B15" s="2" t="s">
        <v>6</v>
      </c>
      <c r="D15" s="13" t="s">
        <v>7</v>
      </c>
      <c r="E15" s="13"/>
      <c r="F15" s="13"/>
    </row>
    <row r="16" spans="1:10" ht="30.75" hidden="1" customHeight="1" outlineLevel="1">
      <c r="B16" s="14" t="s">
        <v>8</v>
      </c>
      <c r="C16" s="15"/>
      <c r="D16" s="208" t="s">
        <v>20</v>
      </c>
      <c r="E16" s="208"/>
      <c r="F16" s="13"/>
      <c r="J16" s="276"/>
    </row>
    <row r="17" spans="2:18" ht="19.5" customHeight="1" collapsed="1" thickBot="1">
      <c r="B17" s="215" t="s">
        <v>144</v>
      </c>
      <c r="C17" s="215"/>
      <c r="D17" s="215"/>
      <c r="E17" s="215"/>
      <c r="F17" s="215"/>
      <c r="G17" s="215"/>
      <c r="H17" s="215"/>
      <c r="I17" s="215"/>
      <c r="M17" s="276"/>
      <c r="N17" s="277" t="s">
        <v>99</v>
      </c>
      <c r="O17" s="277" t="s">
        <v>100</v>
      </c>
      <c r="P17" s="277" t="s">
        <v>101</v>
      </c>
      <c r="Q17" s="277" t="s">
        <v>102</v>
      </c>
    </row>
    <row r="18" spans="2:18" ht="30" customHeight="1">
      <c r="B18" s="224" t="s">
        <v>97</v>
      </c>
      <c r="C18" s="218" t="s">
        <v>103</v>
      </c>
      <c r="D18" s="218" t="s">
        <v>130</v>
      </c>
      <c r="E18" s="175" t="s">
        <v>147</v>
      </c>
      <c r="F18" s="210" t="s">
        <v>146</v>
      </c>
      <c r="G18" s="213" t="s">
        <v>104</v>
      </c>
      <c r="H18" s="214"/>
      <c r="I18" s="201" t="s">
        <v>151</v>
      </c>
      <c r="M18" s="276"/>
      <c r="N18" s="277"/>
      <c r="O18" s="277"/>
      <c r="P18" s="277"/>
      <c r="Q18" s="277"/>
      <c r="R18" s="274">
        <v>112.4</v>
      </c>
    </row>
    <row r="19" spans="2:18" s="9" customFormat="1" ht="54" customHeight="1" thickBot="1">
      <c r="B19" s="225"/>
      <c r="C19" s="219"/>
      <c r="D19" s="219"/>
      <c r="E19" s="176"/>
      <c r="F19" s="211"/>
      <c r="G19" s="16" t="s">
        <v>84</v>
      </c>
      <c r="H19" s="17" t="s">
        <v>85</v>
      </c>
      <c r="I19" s="202"/>
      <c r="J19" s="274"/>
      <c r="K19" s="274"/>
      <c r="L19" s="274"/>
      <c r="M19" s="274"/>
      <c r="N19" s="278">
        <v>195680.98</v>
      </c>
      <c r="O19" s="278">
        <f>391361.96-N19</f>
        <v>195680.98</v>
      </c>
      <c r="P19" s="278">
        <v>175970.59</v>
      </c>
      <c r="Q19" s="278">
        <v>200561.45</v>
      </c>
      <c r="R19" s="280"/>
    </row>
    <row r="20" spans="2:18" s="3" customFormat="1" ht="48">
      <c r="B20" s="18" t="s">
        <v>89</v>
      </c>
      <c r="C20" s="19" t="s">
        <v>105</v>
      </c>
      <c r="D20" s="20" t="s">
        <v>106</v>
      </c>
      <c r="E20" s="21">
        <v>1.05</v>
      </c>
      <c r="F20" s="21">
        <v>1.06</v>
      </c>
      <c r="G20" s="22">
        <f>($N$19/$N$20*E20)+($O$19/$O$20*F20)</f>
        <v>40782.619229441036</v>
      </c>
      <c r="H20" s="23">
        <f>($P$19/$P$20*E20)+($Q$19/$Q$20*F20)</f>
        <v>41105.576302234054</v>
      </c>
      <c r="I20" s="24">
        <f>G20-H20</f>
        <v>-322.9570727930186</v>
      </c>
      <c r="J20" s="301"/>
      <c r="K20" s="280"/>
      <c r="L20" s="280"/>
      <c r="M20" s="281"/>
      <c r="N20" s="282">
        <f>E31-E28-E26</f>
        <v>10.199999999999999</v>
      </c>
      <c r="O20" s="282">
        <f>F31-F28-F26</f>
        <v>10.050000000000001</v>
      </c>
      <c r="P20" s="282">
        <f>E31-E29-E28-E26</f>
        <v>9.5399999999999991</v>
      </c>
      <c r="Q20" s="282">
        <f>F31-F29-F28-F26</f>
        <v>9.7800000000000011</v>
      </c>
      <c r="R20" s="284"/>
    </row>
    <row r="21" spans="2:18" ht="51">
      <c r="B21" s="26" t="s">
        <v>93</v>
      </c>
      <c r="C21" s="19" t="s">
        <v>105</v>
      </c>
      <c r="D21" s="20" t="s">
        <v>106</v>
      </c>
      <c r="E21" s="27">
        <v>1.17</v>
      </c>
      <c r="F21" s="27">
        <v>1.19</v>
      </c>
      <c r="G21" s="22">
        <f t="shared" ref="G21:G30" si="0">($N$19/$N$20*E21)+($O$19/$O$20*F21)</f>
        <v>45615.94516213052</v>
      </c>
      <c r="H21" s="23">
        <f t="shared" ref="H21:H25" si="1">($P$19/$P$20*E21)+($Q$19/$Q$20*F21)</f>
        <v>45984.992587490837</v>
      </c>
      <c r="I21" s="24">
        <f t="shared" ref="I21:I27" si="2">G21-H21</f>
        <v>-369.04742536031699</v>
      </c>
      <c r="J21" s="283"/>
      <c r="K21" s="284"/>
      <c r="L21" s="284"/>
      <c r="M21" s="284"/>
      <c r="N21" s="285"/>
      <c r="O21" s="284"/>
      <c r="P21" s="284"/>
      <c r="Q21" s="284"/>
    </row>
    <row r="22" spans="2:18" ht="54.75" customHeight="1">
      <c r="B22" s="30" t="s">
        <v>86</v>
      </c>
      <c r="C22" s="19" t="s">
        <v>105</v>
      </c>
      <c r="D22" s="20" t="s">
        <v>106</v>
      </c>
      <c r="E22" s="27">
        <v>0.27</v>
      </c>
      <c r="F22" s="27">
        <v>0.32</v>
      </c>
      <c r="G22" s="22">
        <f t="shared" si="0"/>
        <v>11410.428816213054</v>
      </c>
      <c r="H22" s="23">
        <f t="shared" si="1"/>
        <v>11542.637549291972</v>
      </c>
      <c r="I22" s="24">
        <f t="shared" si="2"/>
        <v>-132.20873307891816</v>
      </c>
      <c r="J22" s="286"/>
      <c r="M22" s="276"/>
    </row>
    <row r="23" spans="2:18" ht="25.5">
      <c r="B23" s="30" t="s">
        <v>87</v>
      </c>
      <c r="C23" s="32" t="s">
        <v>107</v>
      </c>
      <c r="D23" s="20" t="s">
        <v>106</v>
      </c>
      <c r="E23" s="27">
        <v>0.11</v>
      </c>
      <c r="F23" s="27">
        <v>0.1</v>
      </c>
      <c r="G23" s="22">
        <f t="shared" si="0"/>
        <v>4057.3595062920695</v>
      </c>
      <c r="H23" s="23">
        <f t="shared" si="1"/>
        <v>4079.7415684042653</v>
      </c>
      <c r="I23" s="24">
        <f t="shared" si="2"/>
        <v>-22.382062112195854</v>
      </c>
      <c r="J23" s="286"/>
      <c r="M23" s="276"/>
    </row>
    <row r="24" spans="2:18" ht="51">
      <c r="B24" s="26" t="s">
        <v>90</v>
      </c>
      <c r="C24" s="19" t="s">
        <v>170</v>
      </c>
      <c r="D24" s="20" t="s">
        <v>106</v>
      </c>
      <c r="E24" s="27">
        <v>1.33</v>
      </c>
      <c r="F24" s="27">
        <v>1.18</v>
      </c>
      <c r="G24" s="22">
        <f t="shared" si="0"/>
        <v>48490.743287971913</v>
      </c>
      <c r="H24" s="23">
        <f t="shared" si="1"/>
        <v>48731.208251405129</v>
      </c>
      <c r="I24" s="24">
        <f t="shared" si="2"/>
        <v>-240.46496343321633</v>
      </c>
      <c r="J24" s="286"/>
    </row>
    <row r="25" spans="2:18" s="3" customFormat="1" ht="213" customHeight="1">
      <c r="B25" s="26" t="s">
        <v>172</v>
      </c>
      <c r="C25" s="19" t="s">
        <v>109</v>
      </c>
      <c r="D25" s="20" t="s">
        <v>106</v>
      </c>
      <c r="E25" s="27">
        <v>5.32</v>
      </c>
      <c r="F25" s="27">
        <v>5.61</v>
      </c>
      <c r="G25" s="22">
        <f t="shared" si="0"/>
        <v>211291.93555984786</v>
      </c>
      <c r="H25" s="23">
        <f t="shared" si="1"/>
        <v>213176.33510173502</v>
      </c>
      <c r="I25" s="24">
        <f t="shared" si="2"/>
        <v>-1884.3995418871637</v>
      </c>
      <c r="J25" s="283"/>
      <c r="K25" s="284"/>
      <c r="L25" s="284"/>
      <c r="M25" s="285"/>
      <c r="N25" s="284"/>
      <c r="O25" s="284"/>
      <c r="P25" s="284"/>
      <c r="Q25" s="284"/>
      <c r="R25" s="284"/>
    </row>
    <row r="26" spans="2:18" ht="24.75" customHeight="1">
      <c r="B26" s="30" t="s">
        <v>108</v>
      </c>
      <c r="C26" s="19" t="s">
        <v>107</v>
      </c>
      <c r="D26" s="20" t="s">
        <v>106</v>
      </c>
      <c r="E26" s="27">
        <v>2</v>
      </c>
      <c r="F26" s="27">
        <v>2</v>
      </c>
      <c r="G26" s="22">
        <v>76737.600000000006</v>
      </c>
      <c r="H26" s="28">
        <v>67559.259999999995</v>
      </c>
      <c r="I26" s="24">
        <f>H26-G26</f>
        <v>-9178.3400000000111</v>
      </c>
      <c r="J26" s="286"/>
    </row>
    <row r="27" spans="2:18" ht="113.45" customHeight="1">
      <c r="B27" s="26" t="s">
        <v>111</v>
      </c>
      <c r="C27" s="19" t="s">
        <v>105</v>
      </c>
      <c r="D27" s="20" t="s">
        <v>106</v>
      </c>
      <c r="E27" s="27">
        <v>0.21</v>
      </c>
      <c r="F27" s="27">
        <v>0.24</v>
      </c>
      <c r="G27" s="22">
        <f t="shared" si="0"/>
        <v>8701.7046856892011</v>
      </c>
      <c r="H27" s="23">
        <f t="shared" ref="H27" si="3">($P$19/$P$20*E27)+($Q$19/$Q$20*F27)</f>
        <v>8795.3198207740097</v>
      </c>
      <c r="I27" s="24">
        <f t="shared" si="2"/>
        <v>-93.615135084808571</v>
      </c>
      <c r="J27" s="286"/>
    </row>
    <row r="28" spans="2:18" ht="53.25" customHeight="1">
      <c r="B28" s="30" t="s">
        <v>94</v>
      </c>
      <c r="C28" s="19" t="s">
        <v>105</v>
      </c>
      <c r="D28" s="20" t="s">
        <v>106</v>
      </c>
      <c r="E28" s="27">
        <v>4.6399999999999997</v>
      </c>
      <c r="F28" s="27">
        <v>4.79</v>
      </c>
      <c r="G28" s="22">
        <v>178031.32</v>
      </c>
      <c r="H28" s="28">
        <v>220829</v>
      </c>
      <c r="I28" s="24">
        <f>G28-H28</f>
        <v>-42797.679999999993</v>
      </c>
      <c r="J28" s="286"/>
      <c r="M28" s="276"/>
    </row>
    <row r="29" spans="2:18" ht="24.75">
      <c r="B29" s="30" t="s">
        <v>95</v>
      </c>
      <c r="C29" s="32" t="s">
        <v>107</v>
      </c>
      <c r="D29" s="20" t="s">
        <v>106</v>
      </c>
      <c r="E29" s="27">
        <v>0.66</v>
      </c>
      <c r="F29" s="27">
        <v>0.27</v>
      </c>
      <c r="G29" s="22">
        <f>($N$19/$N$20*E29)+($O$19/$O$20*F29)</f>
        <v>17918.81142581212</v>
      </c>
      <c r="H29" s="23">
        <v>24995.5</v>
      </c>
      <c r="I29" s="24">
        <f t="shared" ref="I29:I30" si="4">G29-H29</f>
        <v>-7076.6885741878796</v>
      </c>
      <c r="J29" s="286"/>
      <c r="K29" s="302"/>
      <c r="L29" s="302"/>
      <c r="M29" s="276"/>
      <c r="N29" s="292"/>
      <c r="O29" s="292"/>
    </row>
    <row r="30" spans="2:18" ht="16.5" thickBot="1">
      <c r="B30" s="69" t="s">
        <v>88</v>
      </c>
      <c r="C30" s="34" t="s">
        <v>109</v>
      </c>
      <c r="D30" s="35" t="s">
        <v>106</v>
      </c>
      <c r="E30" s="36">
        <v>0.08</v>
      </c>
      <c r="F30" s="36">
        <v>0.08</v>
      </c>
      <c r="G30" s="22">
        <f t="shared" si="0"/>
        <v>3092.412326602283</v>
      </c>
      <c r="H30" s="73">
        <f>($P$19/$P$20*E30)+($Q$19/$Q$20*F30)</f>
        <v>3116.228818664712</v>
      </c>
      <c r="I30" s="24">
        <f t="shared" si="4"/>
        <v>-23.816492062429006</v>
      </c>
      <c r="J30" s="286"/>
    </row>
    <row r="31" spans="2:18" s="74" customFormat="1" ht="18" customHeight="1" thickBot="1">
      <c r="B31" s="39" t="s">
        <v>92</v>
      </c>
      <c r="C31" s="40"/>
      <c r="D31" s="40"/>
      <c r="E31" s="41">
        <f>SUM(E20:E30)</f>
        <v>16.84</v>
      </c>
      <c r="F31" s="42">
        <f>SUM(F20:F30)</f>
        <v>16.84</v>
      </c>
      <c r="G31" s="43">
        <f>SUM(G20:G30)</f>
        <v>646130.87999999989</v>
      </c>
      <c r="H31" s="44">
        <f>SUM(H20:H30)</f>
        <v>689915.79999999993</v>
      </c>
      <c r="I31" s="45">
        <f>SUM(I20:I30)</f>
        <v>-62141.599999999948</v>
      </c>
      <c r="J31" s="303"/>
      <c r="K31" s="274"/>
      <c r="L31" s="274"/>
      <c r="M31" s="274"/>
      <c r="N31" s="274"/>
      <c r="O31" s="274"/>
      <c r="P31" s="274"/>
      <c r="Q31" s="274"/>
      <c r="R31" s="304"/>
    </row>
    <row r="32" spans="2:18" s="4" customFormat="1">
      <c r="B32" s="5"/>
      <c r="C32" s="5"/>
      <c r="D32" s="5"/>
      <c r="E32" s="12"/>
      <c r="F32" s="12"/>
      <c r="G32" s="12"/>
      <c r="H32" s="12"/>
      <c r="J32" s="274"/>
      <c r="K32" s="274"/>
      <c r="L32" s="274"/>
      <c r="M32" s="274"/>
      <c r="N32" s="274"/>
      <c r="O32" s="274"/>
      <c r="P32" s="274"/>
      <c r="Q32" s="274"/>
      <c r="R32" s="292"/>
    </row>
    <row r="33" spans="2:18" ht="16.5" customHeight="1" thickBot="1">
      <c r="B33" s="177" t="s">
        <v>143</v>
      </c>
      <c r="C33" s="177"/>
      <c r="D33" s="177"/>
      <c r="E33" s="177"/>
      <c r="F33" s="177"/>
      <c r="G33" s="177"/>
      <c r="H33" s="177"/>
      <c r="I33" s="177"/>
      <c r="J33" s="287"/>
      <c r="K33" s="287"/>
    </row>
    <row r="34" spans="2:18" ht="47.25" customHeight="1">
      <c r="B34" s="46"/>
      <c r="C34" s="47"/>
      <c r="D34" s="182" t="s">
        <v>110</v>
      </c>
      <c r="E34" s="183"/>
      <c r="F34" s="171" t="s">
        <v>9</v>
      </c>
      <c r="G34" s="172"/>
      <c r="H34" s="171" t="s">
        <v>10</v>
      </c>
      <c r="I34" s="223"/>
      <c r="J34" s="288"/>
      <c r="K34" s="289"/>
      <c r="L34" s="290"/>
      <c r="M34" s="291"/>
      <c r="N34" s="292"/>
      <c r="O34" s="292"/>
      <c r="P34" s="292"/>
      <c r="Q34" s="292"/>
    </row>
    <row r="35" spans="2:18">
      <c r="B35" s="48" t="s">
        <v>11</v>
      </c>
      <c r="C35" s="49"/>
      <c r="D35" s="169">
        <f>F35+H35</f>
        <v>646130.88000000012</v>
      </c>
      <c r="E35" s="184"/>
      <c r="F35" s="169">
        <f>391361.96+76737.6</f>
        <v>468099.56000000006</v>
      </c>
      <c r="G35" s="184"/>
      <c r="H35" s="169">
        <f>G28</f>
        <v>178031.32</v>
      </c>
      <c r="I35" s="180"/>
      <c r="J35" s="293"/>
      <c r="K35" s="298"/>
      <c r="L35" s="298">
        <v>174526.78</v>
      </c>
      <c r="M35" s="295">
        <v>820657.66</v>
      </c>
      <c r="N35" s="296">
        <f>M35-L35</f>
        <v>646130.88</v>
      </c>
      <c r="O35" s="297">
        <f>N35-D35</f>
        <v>0</v>
      </c>
    </row>
    <row r="36" spans="2:18">
      <c r="B36" s="48" t="s">
        <v>12</v>
      </c>
      <c r="C36" s="49"/>
      <c r="D36" s="169">
        <f>F36+H36</f>
        <v>585879.65999999992</v>
      </c>
      <c r="E36" s="184"/>
      <c r="F36" s="169">
        <f>356257.97+67559.26</f>
        <v>423817.23</v>
      </c>
      <c r="G36" s="184"/>
      <c r="H36" s="169">
        <v>162062.43</v>
      </c>
      <c r="I36" s="180"/>
      <c r="J36" s="293"/>
      <c r="K36" s="298"/>
      <c r="L36" s="299">
        <v>3567.45</v>
      </c>
      <c r="M36" s="295">
        <v>589447.11</v>
      </c>
      <c r="N36" s="296">
        <f>M36-L36</f>
        <v>585879.66</v>
      </c>
      <c r="O36" s="297">
        <f>N36-D36</f>
        <v>0</v>
      </c>
    </row>
    <row r="37" spans="2:18" s="3" customFormat="1" ht="16.5" thickBot="1">
      <c r="B37" s="51" t="s">
        <v>91</v>
      </c>
      <c r="C37" s="52"/>
      <c r="D37" s="187">
        <f>F37+H37</f>
        <v>689915.8</v>
      </c>
      <c r="E37" s="189"/>
      <c r="F37" s="187">
        <f>H20+H21+H22+H23+H24+H25+H26+H27+H30+H29</f>
        <v>469086.80000000005</v>
      </c>
      <c r="G37" s="189"/>
      <c r="H37" s="187">
        <f>H28</f>
        <v>220829</v>
      </c>
      <c r="I37" s="220"/>
      <c r="J37" s="293"/>
      <c r="K37" s="298"/>
      <c r="L37" s="286"/>
      <c r="M37" s="286"/>
      <c r="N37" s="274"/>
      <c r="O37" s="274"/>
      <c r="P37" s="274"/>
      <c r="Q37" s="274"/>
      <c r="R37" s="284"/>
    </row>
    <row r="38" spans="2:18" s="3" customFormat="1" ht="26.25" customHeight="1" thickBot="1">
      <c r="B38" s="53" t="s">
        <v>156</v>
      </c>
      <c r="C38" s="54"/>
      <c r="D38" s="198">
        <f>F38+H38</f>
        <v>-104036.14000000007</v>
      </c>
      <c r="E38" s="199"/>
      <c r="F38" s="191">
        <f>F36-F37</f>
        <v>-45269.570000000065</v>
      </c>
      <c r="G38" s="221"/>
      <c r="H38" s="191">
        <f>H36-H37</f>
        <v>-58766.570000000007</v>
      </c>
      <c r="I38" s="222"/>
      <c r="J38" s="293"/>
      <c r="K38" s="298"/>
      <c r="L38" s="286"/>
      <c r="M38" s="286"/>
      <c r="N38" s="274"/>
      <c r="O38" s="274"/>
      <c r="P38" s="274"/>
      <c r="Q38" s="274"/>
      <c r="R38" s="284"/>
    </row>
    <row r="39" spans="2:18" s="3" customFormat="1" ht="28.5" customHeight="1">
      <c r="B39" s="70" t="s">
        <v>79</v>
      </c>
      <c r="C39" s="70"/>
      <c r="D39" s="70"/>
      <c r="E39" s="197" t="s">
        <v>80</v>
      </c>
      <c r="F39" s="197"/>
      <c r="G39" s="195" t="s">
        <v>13</v>
      </c>
      <c r="H39" s="195"/>
      <c r="I39" s="55"/>
      <c r="J39" s="300"/>
      <c r="K39" s="284"/>
      <c r="L39" s="284"/>
      <c r="M39" s="284"/>
      <c r="N39" s="284"/>
      <c r="O39" s="284"/>
      <c r="P39" s="284"/>
      <c r="Q39" s="284"/>
      <c r="R39" s="284"/>
    </row>
    <row r="40" spans="2:18" ht="9" customHeight="1">
      <c r="B40" s="70"/>
      <c r="C40" s="70"/>
      <c r="D40" s="70"/>
      <c r="E40" s="185" t="s">
        <v>14</v>
      </c>
      <c r="F40" s="185"/>
      <c r="G40" s="196"/>
      <c r="H40" s="196"/>
      <c r="I40" s="55"/>
      <c r="J40" s="300"/>
      <c r="K40" s="284"/>
      <c r="L40" s="284"/>
      <c r="M40" s="284"/>
      <c r="N40" s="284"/>
      <c r="O40" s="284"/>
      <c r="P40" s="284"/>
      <c r="Q40" s="284"/>
    </row>
    <row r="41" spans="2:18" ht="20.25" customHeight="1">
      <c r="B41" s="70" t="s">
        <v>81</v>
      </c>
      <c r="C41" s="70"/>
      <c r="D41" s="70"/>
      <c r="E41" s="186" t="s">
        <v>80</v>
      </c>
      <c r="F41" s="186"/>
      <c r="G41" s="195" t="s">
        <v>96</v>
      </c>
      <c r="H41" s="195"/>
      <c r="I41" s="55"/>
      <c r="J41" s="300"/>
      <c r="K41" s="284"/>
      <c r="L41" s="284"/>
      <c r="M41" s="284"/>
      <c r="N41" s="284"/>
      <c r="O41" s="284"/>
      <c r="P41" s="284"/>
      <c r="Q41" s="284"/>
    </row>
    <row r="42" spans="2:18" ht="9.75" customHeight="1">
      <c r="B42" s="70"/>
      <c r="C42" s="70"/>
      <c r="D42" s="70"/>
      <c r="E42" s="185" t="s">
        <v>14</v>
      </c>
      <c r="F42" s="185"/>
      <c r="G42" s="195"/>
      <c r="H42" s="195"/>
      <c r="I42" s="55"/>
      <c r="J42" s="300"/>
    </row>
    <row r="43" spans="2:18" ht="17.25" customHeight="1">
      <c r="B43" s="70" t="s">
        <v>82</v>
      </c>
      <c r="C43" s="70"/>
      <c r="D43" s="70"/>
      <c r="E43" s="186" t="s">
        <v>80</v>
      </c>
      <c r="F43" s="186"/>
      <c r="G43" s="195" t="s">
        <v>98</v>
      </c>
      <c r="H43" s="195"/>
      <c r="I43" s="55"/>
      <c r="J43" s="300"/>
    </row>
    <row r="44" spans="2:18" ht="10.5" customHeight="1">
      <c r="B44" s="58"/>
      <c r="C44" s="58"/>
      <c r="D44" s="58"/>
      <c r="E44" s="185" t="s">
        <v>14</v>
      </c>
      <c r="F44" s="185"/>
      <c r="G44" s="59"/>
      <c r="H44" s="57"/>
      <c r="I44" s="60"/>
      <c r="J44" s="296"/>
    </row>
    <row r="45" spans="2:18">
      <c r="B45" s="70" t="s">
        <v>83</v>
      </c>
      <c r="C45" s="70"/>
      <c r="D45" s="70"/>
      <c r="E45" s="186" t="s">
        <v>80</v>
      </c>
      <c r="F45" s="186"/>
      <c r="G45" s="195" t="s">
        <v>142</v>
      </c>
      <c r="H45" s="195"/>
      <c r="I45" s="55"/>
      <c r="J45" s="300"/>
    </row>
    <row r="46" spans="2:18" ht="9.75" customHeight="1">
      <c r="B46" s="8"/>
      <c r="C46" s="8"/>
      <c r="D46" s="8"/>
      <c r="E46" s="185" t="s">
        <v>14</v>
      </c>
      <c r="F46" s="185"/>
      <c r="G46" s="185"/>
      <c r="H46" s="185"/>
      <c r="I46" s="4"/>
      <c r="J46" s="292"/>
    </row>
    <row r="47" spans="2:18">
      <c r="C47" s="2"/>
      <c r="D47" s="2"/>
      <c r="E47" s="12"/>
      <c r="F47" s="12"/>
      <c r="G47" s="4"/>
      <c r="H47" s="4"/>
      <c r="I47" s="4"/>
    </row>
    <row r="48" spans="2:18">
      <c r="B48" s="2" t="s">
        <v>157</v>
      </c>
    </row>
    <row r="49" spans="5:5">
      <c r="E49" s="61"/>
    </row>
  </sheetData>
  <mergeCells count="46">
    <mergeCell ref="B2:I2"/>
    <mergeCell ref="B3:I3"/>
    <mergeCell ref="B4:I4"/>
    <mergeCell ref="B1:I1"/>
    <mergeCell ref="G42:H42"/>
    <mergeCell ref="E42:F42"/>
    <mergeCell ref="H38:I38"/>
    <mergeCell ref="E41:F41"/>
    <mergeCell ref="G41:H41"/>
    <mergeCell ref="D37:E37"/>
    <mergeCell ref="F35:G35"/>
    <mergeCell ref="H35:I35"/>
    <mergeCell ref="D35:E35"/>
    <mergeCell ref="H37:I37"/>
    <mergeCell ref="D38:E38"/>
    <mergeCell ref="I18:I19"/>
    <mergeCell ref="B33:I33"/>
    <mergeCell ref="D34:E34"/>
    <mergeCell ref="E46:F46"/>
    <mergeCell ref="G46:H46"/>
    <mergeCell ref="E43:F43"/>
    <mergeCell ref="G43:H43"/>
    <mergeCell ref="E45:F45"/>
    <mergeCell ref="G45:H45"/>
    <mergeCell ref="E44:F44"/>
    <mergeCell ref="B18:B19"/>
    <mergeCell ref="C18:C19"/>
    <mergeCell ref="D18:D19"/>
    <mergeCell ref="E18:E19"/>
    <mergeCell ref="F18:F19"/>
    <mergeCell ref="B6:I7"/>
    <mergeCell ref="E40:F40"/>
    <mergeCell ref="H34:I34"/>
    <mergeCell ref="F36:G36"/>
    <mergeCell ref="H36:I36"/>
    <mergeCell ref="E39:F39"/>
    <mergeCell ref="G39:H39"/>
    <mergeCell ref="G40:H40"/>
    <mergeCell ref="F37:G37"/>
    <mergeCell ref="F38:G38"/>
    <mergeCell ref="D9:F9"/>
    <mergeCell ref="D16:E16"/>
    <mergeCell ref="B17:I17"/>
    <mergeCell ref="G18:H18"/>
    <mergeCell ref="F34:G34"/>
    <mergeCell ref="D36:E36"/>
  </mergeCells>
  <printOptions horizontalCentered="1"/>
  <pageMargins left="0.19685039370078741" right="0.19685039370078741" top="0.15748031496062992" bottom="0.23622047244094491" header="0.15748031496062992" footer="0.24"/>
  <pageSetup paperSize="9" scale="40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Q47"/>
  <sheetViews>
    <sheetView topLeftCell="A2" zoomScale="110" zoomScaleNormal="110" workbookViewId="0">
      <selection activeCell="B23" sqref="B23"/>
    </sheetView>
  </sheetViews>
  <sheetFormatPr defaultColWidth="9.140625" defaultRowHeight="15.75"/>
  <cols>
    <col min="1" max="1" width="2.85546875" style="2" customWidth="1"/>
    <col min="2" max="2" width="55.28515625" style="2" customWidth="1"/>
    <col min="3" max="3" width="13.140625" style="12" customWidth="1"/>
    <col min="4" max="4" width="8.42578125" style="4" customWidth="1"/>
    <col min="5" max="5" width="10.42578125" style="4" customWidth="1"/>
    <col min="6" max="6" width="10" style="4" customWidth="1"/>
    <col min="7" max="7" width="9.7109375" style="2" customWidth="1"/>
    <col min="8" max="8" width="10.28515625" style="2" customWidth="1"/>
    <col min="9" max="9" width="10" style="2" customWidth="1"/>
    <col min="10" max="10" width="11.85546875" style="274" customWidth="1"/>
    <col min="11" max="11" width="9.140625" style="274"/>
    <col min="12" max="12" width="10" style="274" bestFit="1" customWidth="1"/>
    <col min="13" max="13" width="9.140625" style="274"/>
    <col min="14" max="14" width="19.42578125" style="274" customWidth="1"/>
    <col min="15" max="15" width="16" style="274" customWidth="1"/>
    <col min="16" max="16" width="13.7109375" style="274" customWidth="1"/>
    <col min="17" max="17" width="15.42578125" style="274" customWidth="1"/>
    <col min="18" max="16384" width="9.140625" style="2"/>
  </cols>
  <sheetData>
    <row r="1" spans="1:10">
      <c r="B1" s="168" t="s">
        <v>138</v>
      </c>
      <c r="C1" s="168"/>
      <c r="D1" s="168"/>
      <c r="E1" s="168"/>
      <c r="F1" s="168"/>
      <c r="G1" s="168"/>
      <c r="H1" s="168"/>
      <c r="I1" s="168"/>
    </row>
    <row r="2" spans="1:10">
      <c r="B2" s="168" t="s">
        <v>139</v>
      </c>
      <c r="C2" s="168"/>
      <c r="D2" s="168"/>
      <c r="E2" s="168"/>
      <c r="F2" s="168"/>
      <c r="G2" s="168"/>
      <c r="H2" s="168"/>
      <c r="I2" s="168"/>
    </row>
    <row r="3" spans="1:10">
      <c r="B3" s="168" t="s">
        <v>140</v>
      </c>
      <c r="C3" s="168"/>
      <c r="D3" s="168"/>
      <c r="E3" s="168"/>
      <c r="F3" s="168"/>
      <c r="G3" s="168"/>
      <c r="H3" s="168"/>
      <c r="I3" s="168"/>
    </row>
    <row r="4" spans="1:10">
      <c r="B4" s="168" t="s">
        <v>148</v>
      </c>
      <c r="C4" s="168"/>
      <c r="D4" s="168"/>
      <c r="E4" s="168"/>
      <c r="F4" s="168"/>
      <c r="G4" s="168"/>
      <c r="H4" s="168"/>
      <c r="I4" s="168"/>
    </row>
    <row r="5" spans="1:10" ht="7.5" customHeight="1">
      <c r="B5" s="7"/>
      <c r="C5" s="7"/>
      <c r="D5" s="7"/>
      <c r="E5" s="7"/>
      <c r="F5" s="7"/>
      <c r="G5" s="7"/>
      <c r="H5" s="7"/>
      <c r="I5" s="7"/>
    </row>
    <row r="6" spans="1:10" ht="19.5" customHeight="1">
      <c r="A6" s="75"/>
      <c r="B6" s="200" t="s">
        <v>141</v>
      </c>
      <c r="C6" s="200"/>
      <c r="D6" s="200"/>
      <c r="E6" s="200"/>
      <c r="F6" s="200"/>
      <c r="G6" s="200"/>
      <c r="H6" s="200"/>
      <c r="I6" s="200"/>
    </row>
    <row r="7" spans="1:10" ht="20.25" customHeight="1">
      <c r="A7" s="75"/>
      <c r="B7" s="200"/>
      <c r="C7" s="200"/>
      <c r="D7" s="200"/>
      <c r="E7" s="200"/>
      <c r="F7" s="200"/>
      <c r="G7" s="200"/>
      <c r="H7" s="200"/>
      <c r="I7" s="200"/>
    </row>
    <row r="8" spans="1:10" ht="8.25" customHeight="1"/>
    <row r="9" spans="1:10">
      <c r="B9" s="6" t="s">
        <v>0</v>
      </c>
      <c r="C9" s="62"/>
      <c r="D9" s="207" t="s">
        <v>23</v>
      </c>
      <c r="E9" s="207"/>
      <c r="F9" s="207"/>
    </row>
    <row r="10" spans="1:10">
      <c r="B10" s="6" t="s">
        <v>1</v>
      </c>
      <c r="C10" s="62"/>
      <c r="D10" s="63">
        <v>1963</v>
      </c>
      <c r="E10" s="63"/>
      <c r="F10" s="63"/>
    </row>
    <row r="11" spans="1:10" hidden="1">
      <c r="B11" s="6" t="s">
        <v>2</v>
      </c>
      <c r="C11" s="62"/>
      <c r="D11" s="63">
        <v>4</v>
      </c>
      <c r="E11" s="63"/>
      <c r="F11" s="63"/>
    </row>
    <row r="12" spans="1:10" hidden="1">
      <c r="B12" s="6" t="s">
        <v>3</v>
      </c>
      <c r="C12" s="62"/>
      <c r="D12" s="63">
        <v>48</v>
      </c>
      <c r="E12" s="63"/>
      <c r="F12" s="63"/>
    </row>
    <row r="13" spans="1:10" ht="30.75" hidden="1" customHeight="1">
      <c r="B13" s="64" t="s">
        <v>4</v>
      </c>
      <c r="C13" s="65"/>
      <c r="D13" s="63" t="s">
        <v>24</v>
      </c>
      <c r="E13" s="63"/>
      <c r="F13" s="63"/>
    </row>
    <row r="14" spans="1:10">
      <c r="B14" s="6" t="s">
        <v>5</v>
      </c>
      <c r="C14" s="62"/>
      <c r="D14" s="63" t="s">
        <v>113</v>
      </c>
      <c r="E14" s="63"/>
      <c r="F14" s="63"/>
      <c r="J14" s="276"/>
    </row>
    <row r="15" spans="1:10" hidden="1">
      <c r="B15" s="2" t="s">
        <v>6</v>
      </c>
      <c r="D15" s="13" t="s">
        <v>25</v>
      </c>
      <c r="E15" s="13"/>
      <c r="F15" s="13"/>
    </row>
    <row r="16" spans="1:10" ht="30.75" hidden="1" customHeight="1">
      <c r="B16" s="14" t="s">
        <v>8</v>
      </c>
      <c r="C16" s="15"/>
      <c r="D16" s="208" t="s">
        <v>26</v>
      </c>
      <c r="E16" s="208"/>
      <c r="F16" s="13"/>
      <c r="J16" s="276"/>
    </row>
    <row r="17" spans="2:17" ht="20.25" customHeight="1" thickBot="1">
      <c r="B17" s="215" t="s">
        <v>144</v>
      </c>
      <c r="C17" s="215"/>
      <c r="D17" s="215"/>
      <c r="E17" s="215"/>
      <c r="F17" s="215"/>
      <c r="G17" s="215"/>
      <c r="H17" s="215"/>
      <c r="I17" s="215"/>
      <c r="M17" s="276"/>
      <c r="N17" s="277" t="s">
        <v>99</v>
      </c>
      <c r="O17" s="277" t="s">
        <v>100</v>
      </c>
      <c r="P17" s="277" t="s">
        <v>101</v>
      </c>
      <c r="Q17" s="277" t="s">
        <v>102</v>
      </c>
    </row>
    <row r="18" spans="2:17" ht="31.5" customHeight="1">
      <c r="B18" s="224" t="s">
        <v>97</v>
      </c>
      <c r="C18" s="218" t="s">
        <v>103</v>
      </c>
      <c r="D18" s="218" t="s">
        <v>132</v>
      </c>
      <c r="E18" s="175" t="s">
        <v>147</v>
      </c>
      <c r="F18" s="210" t="s">
        <v>146</v>
      </c>
      <c r="G18" s="213" t="s">
        <v>104</v>
      </c>
      <c r="H18" s="214"/>
      <c r="I18" s="201" t="s">
        <v>151</v>
      </c>
      <c r="M18" s="276"/>
      <c r="N18" s="277"/>
      <c r="O18" s="277"/>
      <c r="P18" s="277"/>
      <c r="Q18" s="277"/>
    </row>
    <row r="19" spans="2:17" s="9" customFormat="1" ht="46.5" customHeight="1" thickBot="1">
      <c r="B19" s="225"/>
      <c r="C19" s="219"/>
      <c r="D19" s="219"/>
      <c r="E19" s="176"/>
      <c r="F19" s="211"/>
      <c r="G19" s="16" t="s">
        <v>84</v>
      </c>
      <c r="H19" s="17" t="s">
        <v>85</v>
      </c>
      <c r="I19" s="202"/>
      <c r="J19" s="274"/>
      <c r="K19" s="274"/>
      <c r="L19" s="274"/>
      <c r="M19" s="274"/>
      <c r="N19" s="278">
        <v>114378.12</v>
      </c>
      <c r="O19" s="278">
        <f>229185.65-N19</f>
        <v>114807.53</v>
      </c>
      <c r="P19" s="278">
        <v>102174.69</v>
      </c>
      <c r="Q19" s="278">
        <v>116453</v>
      </c>
    </row>
    <row r="20" spans="2:17" s="3" customFormat="1" ht="48.75" customHeight="1">
      <c r="B20" s="18" t="s">
        <v>89</v>
      </c>
      <c r="C20" s="19" t="s">
        <v>105</v>
      </c>
      <c r="D20" s="20" t="s">
        <v>106</v>
      </c>
      <c r="E20" s="21">
        <v>1.05</v>
      </c>
      <c r="F20" s="21">
        <v>1.05</v>
      </c>
      <c r="G20" s="22">
        <f>($N$19/$N$20*E20)+($O$19/$O$20*F20)</f>
        <v>23968.618774900395</v>
      </c>
      <c r="H20" s="23">
        <f>($P$19/$P$20*E20)+($Q$19/$Q$20*F20)</f>
        <v>22864.449651394421</v>
      </c>
      <c r="I20" s="24">
        <f>G20-H20</f>
        <v>1104.1691235059734</v>
      </c>
      <c r="J20" s="279"/>
      <c r="K20" s="280"/>
      <c r="L20" s="280"/>
      <c r="M20" s="281"/>
      <c r="N20" s="282">
        <f>E30-E28-E26</f>
        <v>10.040000000000003</v>
      </c>
      <c r="O20" s="282">
        <f>F30-F28-F26</f>
        <v>10.039999999999999</v>
      </c>
      <c r="P20" s="282">
        <f>E30-E28-E26</f>
        <v>10.040000000000003</v>
      </c>
      <c r="Q20" s="282">
        <f>F30-F28-F26</f>
        <v>10.039999999999999</v>
      </c>
    </row>
    <row r="21" spans="2:17" ht="51">
      <c r="B21" s="26" t="s">
        <v>93</v>
      </c>
      <c r="C21" s="19" t="s">
        <v>105</v>
      </c>
      <c r="D21" s="20" t="s">
        <v>106</v>
      </c>
      <c r="E21" s="27">
        <v>1.17</v>
      </c>
      <c r="F21" s="27">
        <v>1.17</v>
      </c>
      <c r="G21" s="22">
        <f t="shared" ref="G21:G29" si="0">($N$19/$N$20*E21)+($O$19/$O$20*F21)</f>
        <v>26707.889492031863</v>
      </c>
      <c r="H21" s="23">
        <f t="shared" ref="H21:H25" si="1">($P$19/$P$20*E21)+($Q$19/$Q$20*F21)</f>
        <v>25477.529611553782</v>
      </c>
      <c r="I21" s="24">
        <f t="shared" ref="I21:I27" si="2">G21-H21</f>
        <v>1230.3598804780813</v>
      </c>
      <c r="J21" s="283"/>
      <c r="K21" s="284"/>
      <c r="L21" s="284"/>
      <c r="M21" s="284"/>
      <c r="N21" s="285"/>
      <c r="O21" s="284"/>
      <c r="P21" s="284"/>
      <c r="Q21" s="284"/>
    </row>
    <row r="22" spans="2:17" ht="52.5" customHeight="1">
      <c r="B22" s="30" t="s">
        <v>86</v>
      </c>
      <c r="C22" s="19" t="s">
        <v>105</v>
      </c>
      <c r="D22" s="20" t="s">
        <v>106</v>
      </c>
      <c r="E22" s="27">
        <v>0.27</v>
      </c>
      <c r="F22" s="27">
        <v>0.27</v>
      </c>
      <c r="G22" s="22">
        <f t="shared" si="0"/>
        <v>6163.3591135458164</v>
      </c>
      <c r="H22" s="23">
        <f t="shared" si="1"/>
        <v>5879.4299103585654</v>
      </c>
      <c r="I22" s="24">
        <f t="shared" si="2"/>
        <v>283.92920318725101</v>
      </c>
      <c r="J22" s="286"/>
      <c r="M22" s="276"/>
    </row>
    <row r="23" spans="2:17" ht="25.5">
      <c r="B23" s="30" t="s">
        <v>87</v>
      </c>
      <c r="C23" s="32" t="s">
        <v>107</v>
      </c>
      <c r="D23" s="20" t="s">
        <v>106</v>
      </c>
      <c r="E23" s="27">
        <v>0.24</v>
      </c>
      <c r="F23" s="27">
        <v>0.24</v>
      </c>
      <c r="G23" s="22">
        <f t="shared" si="0"/>
        <v>5478.5414342629474</v>
      </c>
      <c r="H23" s="23">
        <f t="shared" si="1"/>
        <v>5226.1599203187252</v>
      </c>
      <c r="I23" s="24">
        <f t="shared" si="2"/>
        <v>252.38151394422221</v>
      </c>
      <c r="J23" s="286"/>
      <c r="M23" s="276"/>
    </row>
    <row r="24" spans="2:17" ht="51">
      <c r="B24" s="26" t="s">
        <v>90</v>
      </c>
      <c r="C24" s="19" t="s">
        <v>170</v>
      </c>
      <c r="D24" s="20" t="s">
        <v>106</v>
      </c>
      <c r="E24" s="27">
        <v>1.33</v>
      </c>
      <c r="F24" s="27">
        <v>1.18</v>
      </c>
      <c r="G24" s="22">
        <f t="shared" si="0"/>
        <v>28644.998505976091</v>
      </c>
      <c r="H24" s="23">
        <f t="shared" si="1"/>
        <v>27221.800567729082</v>
      </c>
      <c r="I24" s="24">
        <f t="shared" si="2"/>
        <v>1423.197938247009</v>
      </c>
      <c r="J24" s="286"/>
    </row>
    <row r="25" spans="2:17" s="3" customFormat="1" ht="214.5" customHeight="1">
      <c r="B25" s="26" t="s">
        <v>145</v>
      </c>
      <c r="C25" s="19" t="s">
        <v>109</v>
      </c>
      <c r="D25" s="20" t="s">
        <v>106</v>
      </c>
      <c r="E25" s="27">
        <v>5.6</v>
      </c>
      <c r="F25" s="27">
        <v>5.5</v>
      </c>
      <c r="G25" s="22">
        <f t="shared" si="0"/>
        <v>126689.1321713147</v>
      </c>
      <c r="H25" s="23">
        <f t="shared" si="1"/>
        <v>120783.84103585657</v>
      </c>
      <c r="I25" s="24">
        <f t="shared" si="2"/>
        <v>5905.2911354581302</v>
      </c>
      <c r="J25" s="283"/>
      <c r="K25" s="284"/>
      <c r="L25" s="284"/>
      <c r="M25" s="285"/>
      <c r="N25" s="284"/>
      <c r="O25" s="284"/>
      <c r="P25" s="284"/>
      <c r="Q25" s="284"/>
    </row>
    <row r="26" spans="2:17" ht="26.25" customHeight="1">
      <c r="B26" s="30" t="s">
        <v>108</v>
      </c>
      <c r="C26" s="19" t="s">
        <v>107</v>
      </c>
      <c r="D26" s="20" t="s">
        <v>106</v>
      </c>
      <c r="E26" s="27">
        <v>2</v>
      </c>
      <c r="F26" s="27">
        <v>2</v>
      </c>
      <c r="G26" s="22">
        <v>45568.800000000003</v>
      </c>
      <c r="H26" s="28">
        <v>43571.49</v>
      </c>
      <c r="I26" s="24">
        <f>H26-G26</f>
        <v>-1997.3100000000049</v>
      </c>
      <c r="J26" s="286"/>
    </row>
    <row r="27" spans="2:17" ht="117.6" customHeight="1">
      <c r="B27" s="26" t="s">
        <v>111</v>
      </c>
      <c r="C27" s="19" t="s">
        <v>105</v>
      </c>
      <c r="D27" s="20" t="s">
        <v>106</v>
      </c>
      <c r="E27" s="27">
        <v>0.21</v>
      </c>
      <c r="F27" s="27">
        <v>0.24</v>
      </c>
      <c r="G27" s="22">
        <f t="shared" si="0"/>
        <v>5136.7741434262934</v>
      </c>
      <c r="H27" s="23">
        <f t="shared" ref="H27" si="3">($P$19/$P$20*E27)+($Q$19/$Q$20*F27)</f>
        <v>4920.8570617529876</v>
      </c>
      <c r="I27" s="24">
        <f t="shared" si="2"/>
        <v>215.9170816733058</v>
      </c>
      <c r="J27" s="286"/>
    </row>
    <row r="28" spans="2:17" ht="52.5" customHeight="1">
      <c r="B28" s="30" t="s">
        <v>94</v>
      </c>
      <c r="C28" s="19" t="s">
        <v>105</v>
      </c>
      <c r="D28" s="20" t="s">
        <v>106</v>
      </c>
      <c r="E28" s="27">
        <v>4.71</v>
      </c>
      <c r="F28" s="27">
        <v>4.71</v>
      </c>
      <c r="G28" s="22">
        <v>107516.37</v>
      </c>
      <c r="H28" s="28">
        <v>100077</v>
      </c>
      <c r="I28" s="24">
        <f>G28-H28</f>
        <v>7439.3699999999953</v>
      </c>
      <c r="J28" s="286"/>
      <c r="M28" s="276"/>
    </row>
    <row r="29" spans="2:17" s="74" customFormat="1" ht="16.5" thickBot="1">
      <c r="B29" s="69" t="s">
        <v>88</v>
      </c>
      <c r="C29" s="34" t="s">
        <v>109</v>
      </c>
      <c r="D29" s="35" t="s">
        <v>106</v>
      </c>
      <c r="E29" s="36">
        <v>0.17</v>
      </c>
      <c r="F29" s="36">
        <v>0.39</v>
      </c>
      <c r="G29" s="37">
        <f t="shared" si="0"/>
        <v>6396.3363645418322</v>
      </c>
      <c r="H29" s="73">
        <f t="shared" ref="H29" si="4">($P$19/$P$20*E29)+($Q$19/$Q$20*F29)</f>
        <v>6253.6222410358569</v>
      </c>
      <c r="I29" s="24">
        <f>G29-H29</f>
        <v>142.71412350597529</v>
      </c>
      <c r="J29" s="286"/>
      <c r="K29" s="274"/>
      <c r="L29" s="274"/>
      <c r="M29" s="274"/>
      <c r="N29" s="274"/>
      <c r="O29" s="274"/>
      <c r="P29" s="274"/>
      <c r="Q29" s="274"/>
    </row>
    <row r="30" spans="2:17" s="4" customFormat="1" ht="16.5" thickBot="1">
      <c r="B30" s="39" t="s">
        <v>92</v>
      </c>
      <c r="C30" s="40"/>
      <c r="D30" s="40"/>
      <c r="E30" s="41">
        <f>SUM(E20:E29)</f>
        <v>16.750000000000004</v>
      </c>
      <c r="F30" s="42">
        <f>SUM(F20:F29)</f>
        <v>16.75</v>
      </c>
      <c r="G30" s="43">
        <f>SUM(G20:G29)</f>
        <v>382270.81999999995</v>
      </c>
      <c r="H30" s="44">
        <f>SUM(H20:H29)</f>
        <v>362276.18</v>
      </c>
      <c r="I30" s="45">
        <f>SUM(I20:I29)</f>
        <v>16000.019999999939</v>
      </c>
      <c r="J30" s="286"/>
      <c r="K30" s="274"/>
      <c r="L30" s="274"/>
      <c r="M30" s="274"/>
      <c r="N30" s="274"/>
      <c r="O30" s="274"/>
      <c r="P30" s="274"/>
      <c r="Q30" s="274"/>
    </row>
    <row r="31" spans="2:17">
      <c r="B31" s="5"/>
      <c r="C31" s="5"/>
      <c r="D31" s="5"/>
      <c r="E31" s="12"/>
      <c r="F31" s="12"/>
      <c r="G31" s="4"/>
      <c r="H31" s="12"/>
      <c r="I31" s="4"/>
    </row>
    <row r="32" spans="2:17" ht="16.5" customHeight="1" thickBot="1">
      <c r="B32" s="177" t="s">
        <v>143</v>
      </c>
      <c r="C32" s="177"/>
      <c r="D32" s="177"/>
      <c r="E32" s="177"/>
      <c r="F32" s="177"/>
      <c r="G32" s="177"/>
      <c r="H32" s="177"/>
      <c r="I32" s="177"/>
      <c r="J32" s="287"/>
      <c r="K32" s="287"/>
    </row>
    <row r="33" spans="2:17" ht="41.25" customHeight="1">
      <c r="B33" s="46"/>
      <c r="C33" s="47"/>
      <c r="D33" s="182" t="s">
        <v>110</v>
      </c>
      <c r="E33" s="183"/>
      <c r="F33" s="171" t="s">
        <v>9</v>
      </c>
      <c r="G33" s="172"/>
      <c r="H33" s="171" t="s">
        <v>10</v>
      </c>
      <c r="I33" s="223"/>
      <c r="J33" s="288"/>
      <c r="K33" s="289"/>
      <c r="L33" s="290"/>
      <c r="M33" s="291"/>
      <c r="N33" s="292"/>
      <c r="O33" s="292"/>
      <c r="P33" s="292"/>
      <c r="Q33" s="292"/>
    </row>
    <row r="34" spans="2:17">
      <c r="B34" s="48" t="s">
        <v>11</v>
      </c>
      <c r="C34" s="49"/>
      <c r="D34" s="169">
        <f>F34+H34</f>
        <v>382270.82</v>
      </c>
      <c r="E34" s="184"/>
      <c r="F34" s="169">
        <f>229185.65+45568.8</f>
        <v>274754.45</v>
      </c>
      <c r="G34" s="184"/>
      <c r="H34" s="169">
        <f>G28</f>
        <v>107516.37</v>
      </c>
      <c r="I34" s="180"/>
      <c r="J34" s="293"/>
      <c r="K34" s="298"/>
      <c r="L34" s="295">
        <v>72183.14</v>
      </c>
      <c r="M34" s="295">
        <v>454453.96</v>
      </c>
      <c r="N34" s="296">
        <f>M34-L34</f>
        <v>382270.82</v>
      </c>
      <c r="O34" s="297">
        <f>N34-D34</f>
        <v>0</v>
      </c>
    </row>
    <row r="35" spans="2:17" s="3" customFormat="1">
      <c r="B35" s="48" t="s">
        <v>12</v>
      </c>
      <c r="C35" s="49"/>
      <c r="D35" s="169">
        <f>F35+H35</f>
        <v>369913.01</v>
      </c>
      <c r="E35" s="184"/>
      <c r="F35" s="169">
        <f>222133.45+43571.49</f>
        <v>265704.94</v>
      </c>
      <c r="G35" s="184"/>
      <c r="H35" s="169">
        <v>104208.07</v>
      </c>
      <c r="I35" s="180"/>
      <c r="J35" s="293"/>
      <c r="K35" s="298"/>
      <c r="L35" s="299">
        <v>11896.94</v>
      </c>
      <c r="M35" s="295">
        <v>381809.95</v>
      </c>
      <c r="N35" s="296">
        <f>M35-L35</f>
        <v>369913.01</v>
      </c>
      <c r="O35" s="297">
        <f>N35-D35</f>
        <v>0</v>
      </c>
      <c r="P35" s="274"/>
      <c r="Q35" s="274"/>
    </row>
    <row r="36" spans="2:17" s="3" customFormat="1" ht="16.5" thickBot="1">
      <c r="B36" s="51" t="s">
        <v>91</v>
      </c>
      <c r="C36" s="52"/>
      <c r="D36" s="187">
        <f>F36+H36</f>
        <v>362276.18</v>
      </c>
      <c r="E36" s="189"/>
      <c r="F36" s="187">
        <f>H20+H21+H22+H23+H24+H25+H26+H27+H29</f>
        <v>262199.18</v>
      </c>
      <c r="G36" s="189"/>
      <c r="H36" s="187">
        <f>H28</f>
        <v>100077</v>
      </c>
      <c r="I36" s="220"/>
      <c r="J36" s="293"/>
      <c r="K36" s="298"/>
      <c r="L36" s="286"/>
      <c r="M36" s="286"/>
      <c r="N36" s="274"/>
      <c r="O36" s="274"/>
      <c r="P36" s="274"/>
      <c r="Q36" s="274"/>
    </row>
    <row r="37" spans="2:17" s="3" customFormat="1" ht="27" customHeight="1" thickBot="1">
      <c r="B37" s="53" t="s">
        <v>156</v>
      </c>
      <c r="C37" s="54"/>
      <c r="D37" s="198">
        <f>F37+H37</f>
        <v>7636.8300000000163</v>
      </c>
      <c r="E37" s="199"/>
      <c r="F37" s="191">
        <f>F35-F36</f>
        <v>3505.7600000000093</v>
      </c>
      <c r="G37" s="221"/>
      <c r="H37" s="191">
        <f>H35-H36</f>
        <v>4131.070000000007</v>
      </c>
      <c r="I37" s="222"/>
      <c r="J37" s="293"/>
      <c r="K37" s="298"/>
      <c r="L37" s="286"/>
      <c r="M37" s="286"/>
      <c r="N37" s="274"/>
      <c r="O37" s="274"/>
      <c r="P37" s="274"/>
      <c r="Q37" s="274"/>
    </row>
    <row r="38" spans="2:17" ht="29.25" customHeight="1">
      <c r="B38" s="70" t="s">
        <v>79</v>
      </c>
      <c r="C38" s="70"/>
      <c r="D38" s="70"/>
      <c r="E38" s="212" t="s">
        <v>80</v>
      </c>
      <c r="F38" s="212"/>
      <c r="G38" s="195" t="s">
        <v>13</v>
      </c>
      <c r="H38" s="195"/>
      <c r="I38" s="55"/>
      <c r="J38" s="300"/>
      <c r="K38" s="284"/>
      <c r="L38" s="284"/>
      <c r="M38" s="284"/>
      <c r="N38" s="284"/>
      <c r="O38" s="284"/>
      <c r="P38" s="284"/>
      <c r="Q38" s="284"/>
    </row>
    <row r="39" spans="2:17" ht="9.75" customHeight="1">
      <c r="B39" s="70"/>
      <c r="C39" s="70"/>
      <c r="D39" s="70"/>
      <c r="E39" s="185" t="s">
        <v>14</v>
      </c>
      <c r="F39" s="185"/>
      <c r="G39" s="196"/>
      <c r="H39" s="196"/>
      <c r="I39" s="55"/>
      <c r="J39" s="300"/>
      <c r="K39" s="284"/>
      <c r="L39" s="284"/>
      <c r="M39" s="284"/>
      <c r="N39" s="284"/>
      <c r="O39" s="284"/>
      <c r="P39" s="284"/>
      <c r="Q39" s="284"/>
    </row>
    <row r="40" spans="2:17">
      <c r="B40" s="70" t="s">
        <v>81</v>
      </c>
      <c r="C40" s="70"/>
      <c r="D40" s="70"/>
      <c r="E40" s="186" t="s">
        <v>80</v>
      </c>
      <c r="F40" s="186"/>
      <c r="G40" s="195" t="s">
        <v>96</v>
      </c>
      <c r="H40" s="195"/>
      <c r="I40" s="55"/>
      <c r="J40" s="300"/>
      <c r="K40" s="284"/>
      <c r="L40" s="284"/>
      <c r="M40" s="284"/>
      <c r="N40" s="284"/>
      <c r="O40" s="284"/>
      <c r="P40" s="284"/>
      <c r="Q40" s="284"/>
    </row>
    <row r="41" spans="2:17" ht="9.75" customHeight="1">
      <c r="B41" s="70"/>
      <c r="C41" s="70"/>
      <c r="D41" s="70"/>
      <c r="E41" s="185" t="s">
        <v>14</v>
      </c>
      <c r="F41" s="185"/>
      <c r="G41" s="195"/>
      <c r="H41" s="195"/>
      <c r="I41" s="55"/>
      <c r="J41" s="300"/>
    </row>
    <row r="42" spans="2:17">
      <c r="B42" s="70" t="s">
        <v>82</v>
      </c>
      <c r="C42" s="70"/>
      <c r="D42" s="70"/>
      <c r="E42" s="186" t="s">
        <v>80</v>
      </c>
      <c r="F42" s="186"/>
      <c r="G42" s="195" t="s">
        <v>98</v>
      </c>
      <c r="H42" s="195"/>
      <c r="I42" s="55"/>
      <c r="J42" s="300"/>
    </row>
    <row r="43" spans="2:17" ht="12" customHeight="1">
      <c r="B43" s="58"/>
      <c r="C43" s="58"/>
      <c r="D43" s="58"/>
      <c r="E43" s="185" t="s">
        <v>14</v>
      </c>
      <c r="F43" s="185"/>
      <c r="G43" s="59"/>
      <c r="H43" s="57"/>
      <c r="I43" s="60"/>
      <c r="J43" s="296"/>
    </row>
    <row r="44" spans="2:17">
      <c r="B44" s="70" t="s">
        <v>83</v>
      </c>
      <c r="C44" s="70"/>
      <c r="D44" s="70"/>
      <c r="E44" s="186" t="s">
        <v>80</v>
      </c>
      <c r="F44" s="186"/>
      <c r="G44" s="195" t="s">
        <v>142</v>
      </c>
      <c r="H44" s="195"/>
      <c r="I44" s="55"/>
      <c r="J44" s="300"/>
    </row>
    <row r="45" spans="2:17" ht="9" customHeight="1">
      <c r="B45" s="8"/>
      <c r="C45" s="8"/>
      <c r="D45" s="8"/>
      <c r="E45" s="185" t="s">
        <v>14</v>
      </c>
      <c r="F45" s="185"/>
      <c r="G45" s="185"/>
      <c r="H45" s="185"/>
      <c r="I45" s="4"/>
      <c r="J45" s="292"/>
    </row>
    <row r="47" spans="2:17">
      <c r="B47" s="2" t="s">
        <v>157</v>
      </c>
      <c r="E47" s="61"/>
    </row>
  </sheetData>
  <mergeCells count="46">
    <mergeCell ref="E45:F45"/>
    <mergeCell ref="G45:H45"/>
    <mergeCell ref="B6:I7"/>
    <mergeCell ref="G42:H42"/>
    <mergeCell ref="E43:F43"/>
    <mergeCell ref="E44:F44"/>
    <mergeCell ref="G44:H44"/>
    <mergeCell ref="G40:H40"/>
    <mergeCell ref="E41:F41"/>
    <mergeCell ref="G41:H41"/>
    <mergeCell ref="B32:I32"/>
    <mergeCell ref="E40:F40"/>
    <mergeCell ref="E42:F42"/>
    <mergeCell ref="F33:G33"/>
    <mergeCell ref="H33:I33"/>
    <mergeCell ref="D33:E33"/>
    <mergeCell ref="B1:I1"/>
    <mergeCell ref="E39:F39"/>
    <mergeCell ref="G39:H39"/>
    <mergeCell ref="H35:I35"/>
    <mergeCell ref="H36:I36"/>
    <mergeCell ref="H37:I37"/>
    <mergeCell ref="F35:G35"/>
    <mergeCell ref="F36:G36"/>
    <mergeCell ref="F37:G37"/>
    <mergeCell ref="E38:F38"/>
    <mergeCell ref="D9:F9"/>
    <mergeCell ref="D16:E16"/>
    <mergeCell ref="B2:I2"/>
    <mergeCell ref="B3:I3"/>
    <mergeCell ref="D18:D19"/>
    <mergeCell ref="B4:I4"/>
    <mergeCell ref="H34:I34"/>
    <mergeCell ref="G38:H38"/>
    <mergeCell ref="F18:F19"/>
    <mergeCell ref="G18:H18"/>
    <mergeCell ref="B17:I17"/>
    <mergeCell ref="I18:I19"/>
    <mergeCell ref="E18:E19"/>
    <mergeCell ref="B18:B19"/>
    <mergeCell ref="C18:C19"/>
    <mergeCell ref="D34:E34"/>
    <mergeCell ref="D35:E35"/>
    <mergeCell ref="D36:E36"/>
    <mergeCell ref="D37:E37"/>
    <mergeCell ref="F34:G34"/>
  </mergeCells>
  <printOptions horizontalCentered="1"/>
  <pageMargins left="0.19685039370078741" right="0.19685039370078741" top="0.15748031496062992" bottom="0.14000000000000001" header="0.16" footer="0.15"/>
  <pageSetup paperSize="9" scale="4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Q46"/>
  <sheetViews>
    <sheetView zoomScale="110" zoomScaleNormal="110" workbookViewId="0">
      <selection activeCell="O22" sqref="O22"/>
    </sheetView>
  </sheetViews>
  <sheetFormatPr defaultColWidth="9.140625" defaultRowHeight="15.75" outlineLevelRow="1"/>
  <cols>
    <col min="1" max="1" width="2.85546875" style="2" customWidth="1"/>
    <col min="2" max="2" width="56.140625" style="2" customWidth="1"/>
    <col min="3" max="3" width="12.7109375" style="12" customWidth="1"/>
    <col min="4" max="4" width="8.7109375" style="4" customWidth="1"/>
    <col min="5" max="5" width="9.140625" style="4" customWidth="1"/>
    <col min="6" max="6" width="10.42578125" style="4" customWidth="1"/>
    <col min="7" max="7" width="10.140625" style="2" customWidth="1"/>
    <col min="8" max="8" width="10.28515625" style="2" customWidth="1"/>
    <col min="9" max="9" width="9.7109375" style="2" customWidth="1"/>
    <col min="10" max="10" width="11.85546875" style="274" customWidth="1"/>
    <col min="11" max="13" width="9.140625" style="274"/>
    <col min="14" max="14" width="17.85546875" style="274" customWidth="1"/>
    <col min="15" max="15" width="16.28515625" style="274" customWidth="1"/>
    <col min="16" max="16" width="19" style="274" customWidth="1"/>
    <col min="17" max="17" width="14.42578125" style="274" customWidth="1"/>
    <col min="18" max="16384" width="9.140625" style="2"/>
  </cols>
  <sheetData>
    <row r="1" spans="1:10">
      <c r="B1" s="168" t="s">
        <v>138</v>
      </c>
      <c r="C1" s="168"/>
      <c r="D1" s="168"/>
      <c r="E1" s="168"/>
      <c r="F1" s="168"/>
      <c r="G1" s="168"/>
      <c r="H1" s="168"/>
      <c r="I1" s="168"/>
    </row>
    <row r="2" spans="1:10">
      <c r="B2" s="168" t="s">
        <v>139</v>
      </c>
      <c r="C2" s="168"/>
      <c r="D2" s="168"/>
      <c r="E2" s="168"/>
      <c r="F2" s="168"/>
      <c r="G2" s="168"/>
      <c r="H2" s="168"/>
      <c r="I2" s="168"/>
    </row>
    <row r="3" spans="1:10">
      <c r="B3" s="168" t="s">
        <v>140</v>
      </c>
      <c r="C3" s="168"/>
      <c r="D3" s="168"/>
      <c r="E3" s="168"/>
      <c r="F3" s="168"/>
      <c r="G3" s="168"/>
      <c r="H3" s="168"/>
      <c r="I3" s="168"/>
    </row>
    <row r="4" spans="1:10">
      <c r="B4" s="168" t="s">
        <v>148</v>
      </c>
      <c r="C4" s="168"/>
      <c r="D4" s="168"/>
      <c r="E4" s="168"/>
      <c r="F4" s="168"/>
      <c r="G4" s="168"/>
      <c r="H4" s="168"/>
      <c r="I4" s="168"/>
    </row>
    <row r="5" spans="1:10" ht="9" customHeight="1">
      <c r="B5" s="7"/>
      <c r="C5" s="7"/>
      <c r="D5" s="7"/>
      <c r="E5" s="7"/>
      <c r="F5" s="7"/>
      <c r="G5" s="7"/>
      <c r="H5" s="7"/>
      <c r="I5" s="7"/>
    </row>
    <row r="6" spans="1:10" ht="23.25" customHeight="1">
      <c r="A6" s="75"/>
      <c r="B6" s="200" t="s">
        <v>141</v>
      </c>
      <c r="C6" s="200"/>
      <c r="D6" s="200"/>
      <c r="E6" s="200"/>
      <c r="F6" s="200"/>
      <c r="G6" s="200"/>
      <c r="H6" s="200"/>
      <c r="I6" s="200"/>
    </row>
    <row r="7" spans="1:10" ht="20.25" customHeight="1">
      <c r="A7" s="75"/>
      <c r="B7" s="200"/>
      <c r="C7" s="200"/>
      <c r="D7" s="200"/>
      <c r="E7" s="200"/>
      <c r="F7" s="200"/>
      <c r="G7" s="200"/>
      <c r="H7" s="200"/>
      <c r="I7" s="200"/>
    </row>
    <row r="8" spans="1:10" ht="8.25" customHeight="1"/>
    <row r="9" spans="1:10">
      <c r="B9" s="6" t="s">
        <v>0</v>
      </c>
      <c r="C9" s="62"/>
      <c r="D9" s="207" t="s">
        <v>27</v>
      </c>
      <c r="E9" s="207"/>
      <c r="F9" s="207"/>
    </row>
    <row r="10" spans="1:10">
      <c r="B10" s="6" t="s">
        <v>1</v>
      </c>
      <c r="C10" s="62"/>
      <c r="D10" s="63">
        <v>1965</v>
      </c>
      <c r="E10" s="63"/>
      <c r="F10" s="63"/>
    </row>
    <row r="11" spans="1:10" hidden="1" outlineLevel="1">
      <c r="B11" s="6" t="s">
        <v>2</v>
      </c>
      <c r="C11" s="62"/>
      <c r="D11" s="63">
        <v>4</v>
      </c>
      <c r="E11" s="63"/>
      <c r="F11" s="63"/>
    </row>
    <row r="12" spans="1:10" hidden="1" outlineLevel="1">
      <c r="B12" s="6" t="s">
        <v>3</v>
      </c>
      <c r="C12" s="62"/>
      <c r="D12" s="63">
        <v>48</v>
      </c>
      <c r="E12" s="63"/>
      <c r="F12" s="63"/>
    </row>
    <row r="13" spans="1:10" ht="30.75" hidden="1" customHeight="1" outlineLevel="1">
      <c r="B13" s="64" t="s">
        <v>4</v>
      </c>
      <c r="C13" s="65"/>
      <c r="D13" s="63" t="s">
        <v>28</v>
      </c>
      <c r="E13" s="63"/>
      <c r="F13" s="63"/>
    </row>
    <row r="14" spans="1:10" collapsed="1">
      <c r="B14" s="6" t="s">
        <v>5</v>
      </c>
      <c r="C14" s="62"/>
      <c r="D14" s="63" t="s">
        <v>114</v>
      </c>
      <c r="E14" s="63"/>
      <c r="F14" s="63"/>
      <c r="J14" s="276"/>
    </row>
    <row r="15" spans="1:10" hidden="1" outlineLevel="1">
      <c r="B15" s="2" t="s">
        <v>6</v>
      </c>
      <c r="D15" s="13" t="s">
        <v>7</v>
      </c>
      <c r="E15" s="13"/>
      <c r="F15" s="13"/>
    </row>
    <row r="16" spans="1:10" ht="30.75" hidden="1" customHeight="1" outlineLevel="1">
      <c r="B16" s="14" t="s">
        <v>8</v>
      </c>
      <c r="C16" s="15"/>
      <c r="D16" s="208" t="s">
        <v>29</v>
      </c>
      <c r="E16" s="208"/>
      <c r="F16" s="13"/>
      <c r="J16" s="276"/>
    </row>
    <row r="17" spans="2:17" ht="18.75" customHeight="1" collapsed="1" thickBot="1">
      <c r="B17" s="215" t="s">
        <v>144</v>
      </c>
      <c r="C17" s="215"/>
      <c r="D17" s="215"/>
      <c r="E17" s="215"/>
      <c r="F17" s="215"/>
      <c r="G17" s="215"/>
      <c r="H17" s="215"/>
      <c r="I17" s="215"/>
      <c r="M17" s="276"/>
      <c r="N17" s="277" t="s">
        <v>99</v>
      </c>
      <c r="O17" s="277" t="s">
        <v>100</v>
      </c>
      <c r="P17" s="277" t="s">
        <v>101</v>
      </c>
      <c r="Q17" s="277" t="s">
        <v>102</v>
      </c>
    </row>
    <row r="18" spans="2:17" s="9" customFormat="1" ht="31.5" customHeight="1">
      <c r="B18" s="224" t="s">
        <v>97</v>
      </c>
      <c r="C18" s="218" t="s">
        <v>103</v>
      </c>
      <c r="D18" s="218" t="s">
        <v>132</v>
      </c>
      <c r="E18" s="175" t="s">
        <v>147</v>
      </c>
      <c r="F18" s="210" t="s">
        <v>146</v>
      </c>
      <c r="G18" s="213" t="s">
        <v>104</v>
      </c>
      <c r="H18" s="214"/>
      <c r="I18" s="201" t="s">
        <v>151</v>
      </c>
      <c r="J18" s="274"/>
      <c r="K18" s="274"/>
      <c r="L18" s="274"/>
      <c r="M18" s="276"/>
      <c r="N18" s="277"/>
      <c r="O18" s="277"/>
      <c r="P18" s="277"/>
      <c r="Q18" s="277"/>
    </row>
    <row r="19" spans="2:17" s="3" customFormat="1" ht="40.5" customHeight="1" thickBot="1">
      <c r="B19" s="225"/>
      <c r="C19" s="219"/>
      <c r="D19" s="219"/>
      <c r="E19" s="176"/>
      <c r="F19" s="211"/>
      <c r="G19" s="16" t="s">
        <v>84</v>
      </c>
      <c r="H19" s="17" t="s">
        <v>85</v>
      </c>
      <c r="I19" s="202"/>
      <c r="J19" s="274"/>
      <c r="K19" s="274"/>
      <c r="L19" s="274"/>
      <c r="M19" s="274"/>
      <c r="N19" s="278">
        <v>122738.96</v>
      </c>
      <c r="O19" s="278">
        <f>248414.33-N19</f>
        <v>125675.36999999998</v>
      </c>
      <c r="P19" s="278">
        <v>110180.38</v>
      </c>
      <c r="Q19" s="278">
        <v>125577.44</v>
      </c>
    </row>
    <row r="20" spans="2:17" ht="54" customHeight="1">
      <c r="B20" s="18" t="s">
        <v>89</v>
      </c>
      <c r="C20" s="19" t="s">
        <v>105</v>
      </c>
      <c r="D20" s="20" t="s">
        <v>106</v>
      </c>
      <c r="E20" s="21">
        <v>1.05</v>
      </c>
      <c r="F20" s="21">
        <v>1.06</v>
      </c>
      <c r="G20" s="22">
        <f>($N$19/$N$20*E20)+($O$19/$O$20*F20)</f>
        <v>24787.891368445729</v>
      </c>
      <c r="H20" s="23">
        <f>($P$19/$P$20*E20)+($Q$19/$Q$20*F20)</f>
        <v>23501.771930114006</v>
      </c>
      <c r="I20" s="24">
        <f>G20-H20</f>
        <v>1286.1194383317234</v>
      </c>
      <c r="J20" s="279"/>
      <c r="K20" s="280"/>
      <c r="L20" s="280"/>
      <c r="M20" s="281"/>
      <c r="N20" s="282">
        <f>E30-E28-E26</f>
        <v>10.330000000000002</v>
      </c>
      <c r="O20" s="282">
        <f>F30-F28-F26</f>
        <v>10.819999999999997</v>
      </c>
      <c r="P20" s="282">
        <f>E30-E28-E26</f>
        <v>10.330000000000002</v>
      </c>
      <c r="Q20" s="282">
        <f>F30-F28-F26</f>
        <v>10.819999999999997</v>
      </c>
    </row>
    <row r="21" spans="2:17" ht="51">
      <c r="B21" s="26" t="s">
        <v>93</v>
      </c>
      <c r="C21" s="19" t="s">
        <v>105</v>
      </c>
      <c r="D21" s="20" t="s">
        <v>106</v>
      </c>
      <c r="E21" s="27">
        <v>1.17</v>
      </c>
      <c r="F21" s="27">
        <v>1.19</v>
      </c>
      <c r="G21" s="22">
        <f t="shared" ref="G21:G29" si="0">($N$19/$N$20*E21)+($O$19/$O$20*F21)</f>
        <v>27723.669829302158</v>
      </c>
      <c r="H21" s="23">
        <f t="shared" ref="H21:H25" si="1">($P$19/$P$20*E21)+($Q$19/$Q$20*F21)</f>
        <v>26290.485147793788</v>
      </c>
      <c r="I21" s="24">
        <f t="shared" ref="I21:I27" si="2">G21-H21</f>
        <v>1433.18468150837</v>
      </c>
      <c r="J21" s="283"/>
      <c r="K21" s="284"/>
      <c r="L21" s="284"/>
      <c r="M21" s="284"/>
      <c r="N21" s="285"/>
      <c r="O21" s="284"/>
      <c r="P21" s="284"/>
      <c r="Q21" s="284"/>
    </row>
    <row r="22" spans="2:17" ht="58.5" customHeight="1">
      <c r="B22" s="30" t="s">
        <v>86</v>
      </c>
      <c r="C22" s="19" t="s">
        <v>105</v>
      </c>
      <c r="D22" s="20" t="s">
        <v>106</v>
      </c>
      <c r="E22" s="27">
        <v>0.27</v>
      </c>
      <c r="F22" s="27">
        <v>0.32</v>
      </c>
      <c r="G22" s="22">
        <f t="shared" si="0"/>
        <v>6924.9167564278978</v>
      </c>
      <c r="H22" s="23">
        <f t="shared" si="1"/>
        <v>6593.7710614061307</v>
      </c>
      <c r="I22" s="24">
        <f t="shared" si="2"/>
        <v>331.1456950217671</v>
      </c>
      <c r="J22" s="286"/>
      <c r="M22" s="276"/>
    </row>
    <row r="23" spans="2:17" ht="25.5">
      <c r="B23" s="30" t="s">
        <v>87</v>
      </c>
      <c r="C23" s="32" t="s">
        <v>107</v>
      </c>
      <c r="D23" s="20" t="s">
        <v>106</v>
      </c>
      <c r="E23" s="27">
        <v>0.22</v>
      </c>
      <c r="F23" s="27">
        <v>0.27</v>
      </c>
      <c r="G23" s="22">
        <f t="shared" si="0"/>
        <v>5750.071976449979</v>
      </c>
      <c r="H23" s="23">
        <f t="shared" si="1"/>
        <v>5480.1657542860121</v>
      </c>
      <c r="I23" s="24">
        <f t="shared" si="2"/>
        <v>269.90622216396696</v>
      </c>
      <c r="J23" s="286"/>
      <c r="M23" s="276"/>
    </row>
    <row r="24" spans="2:17" s="3" customFormat="1" ht="51">
      <c r="B24" s="26" t="s">
        <v>90</v>
      </c>
      <c r="C24" s="19" t="s">
        <v>170</v>
      </c>
      <c r="D24" s="20" t="s">
        <v>106</v>
      </c>
      <c r="E24" s="27">
        <v>1.33</v>
      </c>
      <c r="F24" s="27">
        <v>1.18</v>
      </c>
      <c r="G24" s="22">
        <f t="shared" si="0"/>
        <v>29508.606313771241</v>
      </c>
      <c r="H24" s="23">
        <f t="shared" si="1"/>
        <v>27880.993960522719</v>
      </c>
      <c r="I24" s="24">
        <f t="shared" si="2"/>
        <v>1627.6123532485217</v>
      </c>
      <c r="J24" s="286"/>
      <c r="K24" s="274"/>
      <c r="L24" s="274"/>
      <c r="M24" s="274"/>
      <c r="N24" s="274"/>
      <c r="O24" s="274"/>
      <c r="P24" s="274"/>
      <c r="Q24" s="274"/>
    </row>
    <row r="25" spans="2:17" ht="213.75" customHeight="1">
      <c r="B25" s="26" t="s">
        <v>145</v>
      </c>
      <c r="C25" s="19" t="s">
        <v>109</v>
      </c>
      <c r="D25" s="20" t="s">
        <v>106</v>
      </c>
      <c r="E25" s="27">
        <v>5.6</v>
      </c>
      <c r="F25" s="27">
        <v>5.61</v>
      </c>
      <c r="G25" s="22">
        <f t="shared" si="0"/>
        <v>131698.76634643634</v>
      </c>
      <c r="H25" s="23">
        <f t="shared" si="1"/>
        <v>124839.85487804488</v>
      </c>
      <c r="I25" s="24">
        <f t="shared" si="2"/>
        <v>6858.9114683914668</v>
      </c>
      <c r="J25" s="283"/>
      <c r="K25" s="284"/>
      <c r="L25" s="284"/>
      <c r="M25" s="285"/>
      <c r="N25" s="284"/>
      <c r="O25" s="284"/>
      <c r="P25" s="284"/>
      <c r="Q25" s="284"/>
    </row>
    <row r="26" spans="2:17" ht="27" customHeight="1">
      <c r="B26" s="30" t="s">
        <v>108</v>
      </c>
      <c r="C26" s="19" t="s">
        <v>107</v>
      </c>
      <c r="D26" s="20" t="s">
        <v>106</v>
      </c>
      <c r="E26" s="27">
        <v>2</v>
      </c>
      <c r="F26" s="27">
        <v>2</v>
      </c>
      <c r="G26" s="22">
        <v>47532</v>
      </c>
      <c r="H26" s="28">
        <v>46539.64</v>
      </c>
      <c r="I26" s="24">
        <f>H26-G26</f>
        <v>-992.36000000000058</v>
      </c>
      <c r="J26" s="286"/>
    </row>
    <row r="27" spans="2:17" ht="105.75" customHeight="1">
      <c r="B27" s="26" t="s">
        <v>111</v>
      </c>
      <c r="C27" s="19" t="s">
        <v>105</v>
      </c>
      <c r="D27" s="20" t="s">
        <v>106</v>
      </c>
      <c r="E27" s="27">
        <v>0.21</v>
      </c>
      <c r="F27" s="27">
        <v>0.24</v>
      </c>
      <c r="G27" s="22">
        <f t="shared" si="0"/>
        <v>5282.8010426355404</v>
      </c>
      <c r="H27" s="23">
        <f t="shared" ref="H27" si="3">($P$19/$P$20*E27)+($Q$19/$Q$20*F27)</f>
        <v>5025.3237316789928</v>
      </c>
      <c r="I27" s="24">
        <f t="shared" si="2"/>
        <v>257.47731095654763</v>
      </c>
      <c r="J27" s="286"/>
    </row>
    <row r="28" spans="2:17" ht="49.5" customHeight="1">
      <c r="B28" s="30" t="s">
        <v>94</v>
      </c>
      <c r="C28" s="19" t="s">
        <v>105</v>
      </c>
      <c r="D28" s="20" t="s">
        <v>106</v>
      </c>
      <c r="E28" s="27">
        <v>4.1399999999999997</v>
      </c>
      <c r="F28" s="27">
        <v>4.3</v>
      </c>
      <c r="G28" s="22">
        <v>99341.94</v>
      </c>
      <c r="H28" s="28">
        <v>61666</v>
      </c>
      <c r="I28" s="24">
        <f>G28-H28</f>
        <v>37675.94</v>
      </c>
      <c r="J28" s="286"/>
      <c r="M28" s="276"/>
    </row>
    <row r="29" spans="2:17" s="74" customFormat="1" ht="18" customHeight="1" thickBot="1">
      <c r="B29" s="69" t="s">
        <v>88</v>
      </c>
      <c r="C29" s="34" t="s">
        <v>109</v>
      </c>
      <c r="D29" s="35" t="s">
        <v>106</v>
      </c>
      <c r="E29" s="36">
        <v>0.48</v>
      </c>
      <c r="F29" s="36">
        <v>0.95</v>
      </c>
      <c r="G29" s="37">
        <f t="shared" si="0"/>
        <v>16737.60636653109</v>
      </c>
      <c r="H29" s="73">
        <f t="shared" ref="H29" si="4">($P$19/$P$20*E29)+($Q$19/$Q$20*F29)</f>
        <v>16145.453536153518</v>
      </c>
      <c r="I29" s="24">
        <f>G29-H29</f>
        <v>592.15283037757217</v>
      </c>
      <c r="J29" s="286"/>
      <c r="K29" s="274"/>
      <c r="L29" s="274"/>
      <c r="M29" s="274"/>
      <c r="N29" s="274"/>
      <c r="O29" s="274"/>
      <c r="P29" s="274"/>
      <c r="Q29" s="274"/>
    </row>
    <row r="30" spans="2:17" s="4" customFormat="1" ht="16.5" thickBot="1">
      <c r="B30" s="39" t="s">
        <v>92</v>
      </c>
      <c r="C30" s="40"/>
      <c r="D30" s="40"/>
      <c r="E30" s="41">
        <f>SUM(E20:E29)</f>
        <v>16.470000000000002</v>
      </c>
      <c r="F30" s="42">
        <f>SUM(F20:F29)</f>
        <v>17.119999999999997</v>
      </c>
      <c r="G30" s="43">
        <f>SUM(G20:G29)</f>
        <v>395288.26999999996</v>
      </c>
      <c r="H30" s="44">
        <f>SUM(H20:H29)</f>
        <v>343963.46000000008</v>
      </c>
      <c r="I30" s="45">
        <f>SUM(I20:I29)</f>
        <v>49340.089999999938</v>
      </c>
      <c r="J30" s="286"/>
      <c r="K30" s="274"/>
      <c r="L30" s="274"/>
      <c r="M30" s="274"/>
      <c r="N30" s="274"/>
      <c r="O30" s="274"/>
      <c r="P30" s="274"/>
      <c r="Q30" s="274"/>
    </row>
    <row r="31" spans="2:17">
      <c r="B31" s="5"/>
      <c r="C31" s="5"/>
      <c r="D31" s="5"/>
      <c r="E31" s="12"/>
      <c r="F31" s="12"/>
      <c r="G31" s="12"/>
      <c r="H31" s="12"/>
      <c r="I31" s="4"/>
    </row>
    <row r="32" spans="2:17" ht="16.5" customHeight="1" thickBot="1">
      <c r="B32" s="177" t="s">
        <v>143</v>
      </c>
      <c r="C32" s="177"/>
      <c r="D32" s="177"/>
      <c r="E32" s="177"/>
      <c r="F32" s="177"/>
      <c r="G32" s="177"/>
      <c r="H32" s="177"/>
      <c r="I32" s="177"/>
      <c r="J32" s="287"/>
      <c r="K32" s="287"/>
    </row>
    <row r="33" spans="2:17" ht="45" customHeight="1">
      <c r="B33" s="46"/>
      <c r="C33" s="47"/>
      <c r="D33" s="182" t="s">
        <v>110</v>
      </c>
      <c r="E33" s="183"/>
      <c r="F33" s="171" t="s">
        <v>9</v>
      </c>
      <c r="G33" s="172"/>
      <c r="H33" s="171" t="s">
        <v>10</v>
      </c>
      <c r="I33" s="223"/>
      <c r="J33" s="288"/>
      <c r="K33" s="289"/>
      <c r="L33" s="290"/>
      <c r="M33" s="291"/>
      <c r="N33" s="292"/>
      <c r="O33" s="292"/>
      <c r="P33" s="292"/>
      <c r="Q33" s="292"/>
    </row>
    <row r="34" spans="2:17">
      <c r="B34" s="48" t="s">
        <v>11</v>
      </c>
      <c r="C34" s="49"/>
      <c r="D34" s="169">
        <f>F34+H34</f>
        <v>395288.26999999996</v>
      </c>
      <c r="E34" s="184"/>
      <c r="F34" s="169">
        <f>248414.33+47532</f>
        <v>295946.32999999996</v>
      </c>
      <c r="G34" s="184"/>
      <c r="H34" s="169">
        <f>G28</f>
        <v>99341.94</v>
      </c>
      <c r="I34" s="180"/>
      <c r="J34" s="293"/>
      <c r="K34" s="298"/>
      <c r="L34" s="295">
        <v>47734.55</v>
      </c>
      <c r="M34" s="295">
        <v>443022.82</v>
      </c>
      <c r="N34" s="296">
        <f>M34-L34</f>
        <v>395288.27</v>
      </c>
      <c r="O34" s="297">
        <f>N34-D34</f>
        <v>0</v>
      </c>
    </row>
    <row r="35" spans="2:17" s="3" customFormat="1">
      <c r="B35" s="48" t="s">
        <v>12</v>
      </c>
      <c r="C35" s="49"/>
      <c r="D35" s="169">
        <f>F35+H35</f>
        <v>394322.08999999997</v>
      </c>
      <c r="E35" s="184"/>
      <c r="F35" s="169">
        <f>248466.6+46539.64</f>
        <v>295006.24</v>
      </c>
      <c r="G35" s="184"/>
      <c r="H35" s="169">
        <v>99315.85</v>
      </c>
      <c r="I35" s="180"/>
      <c r="J35" s="293"/>
      <c r="K35" s="298"/>
      <c r="L35" s="299">
        <v>2761.13</v>
      </c>
      <c r="M35" s="295">
        <v>397083.22</v>
      </c>
      <c r="N35" s="296">
        <f>M35-L35</f>
        <v>394322.08999999997</v>
      </c>
      <c r="O35" s="297">
        <f>N35-D35</f>
        <v>0</v>
      </c>
      <c r="P35" s="274"/>
      <c r="Q35" s="274"/>
    </row>
    <row r="36" spans="2:17" s="3" customFormat="1" ht="17.25" customHeight="1" thickBot="1">
      <c r="B36" s="51" t="s">
        <v>91</v>
      </c>
      <c r="C36" s="52"/>
      <c r="D36" s="187">
        <f>F36+H36</f>
        <v>343963.46000000008</v>
      </c>
      <c r="E36" s="189"/>
      <c r="F36" s="187">
        <f>H20+H21+H22+H23+H24+H25+H26+H27+H29</f>
        <v>282297.46000000008</v>
      </c>
      <c r="G36" s="189"/>
      <c r="H36" s="187">
        <f>H28</f>
        <v>61666</v>
      </c>
      <c r="I36" s="220"/>
      <c r="J36" s="293"/>
      <c r="K36" s="298"/>
      <c r="L36" s="286"/>
      <c r="M36" s="286"/>
      <c r="N36" s="274"/>
      <c r="O36" s="274"/>
      <c r="P36" s="274"/>
      <c r="Q36" s="274"/>
    </row>
    <row r="37" spans="2:17" s="3" customFormat="1" ht="30.75" customHeight="1" thickBot="1">
      <c r="B37" s="53" t="s">
        <v>156</v>
      </c>
      <c r="C37" s="54"/>
      <c r="D37" s="198">
        <f>F37+H37</f>
        <v>50358.629999999917</v>
      </c>
      <c r="E37" s="199"/>
      <c r="F37" s="191">
        <f>F35-F36</f>
        <v>12708.779999999912</v>
      </c>
      <c r="G37" s="221"/>
      <c r="H37" s="191">
        <f>H35-H36</f>
        <v>37649.850000000006</v>
      </c>
      <c r="I37" s="222"/>
      <c r="J37" s="293"/>
      <c r="K37" s="298"/>
      <c r="L37" s="286"/>
      <c r="M37" s="286"/>
      <c r="N37" s="274"/>
      <c r="O37" s="274"/>
      <c r="P37" s="274"/>
      <c r="Q37" s="274"/>
    </row>
    <row r="38" spans="2:17" ht="25.5" customHeight="1">
      <c r="B38" s="70" t="s">
        <v>79</v>
      </c>
      <c r="C38" s="70"/>
      <c r="D38" s="70"/>
      <c r="E38" s="197" t="s">
        <v>80</v>
      </c>
      <c r="F38" s="197"/>
      <c r="G38" s="195" t="s">
        <v>13</v>
      </c>
      <c r="H38" s="195"/>
      <c r="I38" s="55"/>
      <c r="J38" s="300"/>
      <c r="K38" s="284"/>
      <c r="L38" s="284"/>
      <c r="M38" s="284"/>
      <c r="N38" s="284"/>
      <c r="O38" s="284"/>
      <c r="P38" s="284"/>
      <c r="Q38" s="284"/>
    </row>
    <row r="39" spans="2:17" ht="8.25" customHeight="1">
      <c r="B39" s="70"/>
      <c r="C39" s="70"/>
      <c r="D39" s="70"/>
      <c r="E39" s="185" t="s">
        <v>14</v>
      </c>
      <c r="F39" s="185"/>
      <c r="G39" s="196"/>
      <c r="H39" s="196"/>
      <c r="I39" s="55"/>
      <c r="J39" s="300"/>
      <c r="K39" s="284"/>
      <c r="L39" s="284"/>
      <c r="M39" s="284"/>
      <c r="N39" s="284"/>
      <c r="O39" s="284"/>
      <c r="P39" s="284"/>
      <c r="Q39" s="284"/>
    </row>
    <row r="40" spans="2:17" ht="18.75" customHeight="1">
      <c r="B40" s="70" t="s">
        <v>81</v>
      </c>
      <c r="C40" s="70"/>
      <c r="D40" s="70"/>
      <c r="E40" s="186" t="s">
        <v>80</v>
      </c>
      <c r="F40" s="186"/>
      <c r="G40" s="195" t="s">
        <v>96</v>
      </c>
      <c r="H40" s="195"/>
      <c r="I40" s="55"/>
      <c r="J40" s="300"/>
      <c r="K40" s="284"/>
      <c r="L40" s="284"/>
      <c r="M40" s="284"/>
      <c r="N40" s="284"/>
      <c r="O40" s="284"/>
      <c r="P40" s="284"/>
      <c r="Q40" s="284"/>
    </row>
    <row r="41" spans="2:17" ht="9.75" customHeight="1">
      <c r="B41" s="70"/>
      <c r="C41" s="70"/>
      <c r="D41" s="70"/>
      <c r="E41" s="185" t="s">
        <v>14</v>
      </c>
      <c r="F41" s="185"/>
      <c r="G41" s="195"/>
      <c r="H41" s="195"/>
      <c r="I41" s="55"/>
      <c r="J41" s="300"/>
    </row>
    <row r="42" spans="2:17" ht="21" customHeight="1">
      <c r="B42" s="70" t="s">
        <v>82</v>
      </c>
      <c r="C42" s="70"/>
      <c r="D42" s="70"/>
      <c r="E42" s="186" t="s">
        <v>80</v>
      </c>
      <c r="F42" s="186"/>
      <c r="G42" s="195" t="s">
        <v>98</v>
      </c>
      <c r="H42" s="195"/>
      <c r="I42" s="55"/>
      <c r="J42" s="300"/>
    </row>
    <row r="43" spans="2:17" ht="9.75" customHeight="1">
      <c r="B43" s="58"/>
      <c r="C43" s="58"/>
      <c r="D43" s="58"/>
      <c r="E43" s="185" t="s">
        <v>14</v>
      </c>
      <c r="F43" s="185"/>
      <c r="G43" s="59"/>
      <c r="H43" s="57"/>
      <c r="I43" s="55"/>
      <c r="J43" s="300"/>
    </row>
    <row r="44" spans="2:17" ht="16.5" customHeight="1">
      <c r="B44" s="70" t="s">
        <v>83</v>
      </c>
      <c r="C44" s="70"/>
      <c r="D44" s="70"/>
      <c r="E44" s="186" t="s">
        <v>80</v>
      </c>
      <c r="F44" s="186"/>
      <c r="G44" s="195" t="s">
        <v>142</v>
      </c>
      <c r="H44" s="195"/>
      <c r="I44" s="55"/>
      <c r="J44" s="300"/>
    </row>
    <row r="45" spans="2:17" ht="8.25" customHeight="1">
      <c r="B45" s="8"/>
      <c r="C45" s="8"/>
      <c r="D45" s="8"/>
      <c r="E45" s="185" t="s">
        <v>14</v>
      </c>
      <c r="F45" s="185"/>
      <c r="G45" s="185"/>
      <c r="H45" s="185"/>
      <c r="I45" s="55"/>
      <c r="J45" s="300"/>
    </row>
    <row r="46" spans="2:17">
      <c r="E46" s="61"/>
    </row>
  </sheetData>
  <mergeCells count="46">
    <mergeCell ref="B2:I2"/>
    <mergeCell ref="B3:I3"/>
    <mergeCell ref="B4:I4"/>
    <mergeCell ref="B1:I1"/>
    <mergeCell ref="E45:F45"/>
    <mergeCell ref="G45:H45"/>
    <mergeCell ref="B6:I7"/>
    <mergeCell ref="G42:H42"/>
    <mergeCell ref="E43:F43"/>
    <mergeCell ref="E44:F44"/>
    <mergeCell ref="G44:H44"/>
    <mergeCell ref="G40:H40"/>
    <mergeCell ref="E41:F41"/>
    <mergeCell ref="G41:H41"/>
    <mergeCell ref="G38:H38"/>
    <mergeCell ref="E39:F39"/>
    <mergeCell ref="G39:H39"/>
    <mergeCell ref="H35:I35"/>
    <mergeCell ref="H36:I36"/>
    <mergeCell ref="H37:I37"/>
    <mergeCell ref="F35:G35"/>
    <mergeCell ref="F36:G36"/>
    <mergeCell ref="F37:G37"/>
    <mergeCell ref="E38:F38"/>
    <mergeCell ref="D37:E37"/>
    <mergeCell ref="E40:F40"/>
    <mergeCell ref="E42:F42"/>
    <mergeCell ref="D9:F9"/>
    <mergeCell ref="D16:E16"/>
    <mergeCell ref="B17:I17"/>
    <mergeCell ref="B18:B19"/>
    <mergeCell ref="C18:C19"/>
    <mergeCell ref="D18:D19"/>
    <mergeCell ref="E18:E19"/>
    <mergeCell ref="F18:F19"/>
    <mergeCell ref="G18:H18"/>
    <mergeCell ref="I18:I19"/>
    <mergeCell ref="F33:G33"/>
    <mergeCell ref="H33:I33"/>
    <mergeCell ref="F34:G34"/>
    <mergeCell ref="B32:I32"/>
    <mergeCell ref="D33:E33"/>
    <mergeCell ref="D34:E34"/>
    <mergeCell ref="D35:E35"/>
    <mergeCell ref="D36:E36"/>
    <mergeCell ref="H34:I34"/>
  </mergeCells>
  <printOptions horizontalCentered="1"/>
  <pageMargins left="0.19685039370078741" right="0.19685039370078741" top="0.16" bottom="0.24" header="0.16" footer="0.24"/>
  <pageSetup paperSize="9" scale="4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Q49"/>
  <sheetViews>
    <sheetView zoomScale="110" zoomScaleNormal="110" workbookViewId="0">
      <selection activeCell="I22" sqref="I22"/>
    </sheetView>
  </sheetViews>
  <sheetFormatPr defaultColWidth="9.140625" defaultRowHeight="15.75"/>
  <cols>
    <col min="1" max="1" width="2.85546875" style="2" customWidth="1"/>
    <col min="2" max="2" width="55.85546875" style="2" customWidth="1"/>
    <col min="3" max="3" width="11.5703125" style="12" customWidth="1"/>
    <col min="4" max="4" width="8.5703125" style="4" customWidth="1"/>
    <col min="5" max="5" width="9.7109375" style="4" customWidth="1"/>
    <col min="6" max="6" width="10" style="4" customWidth="1"/>
    <col min="7" max="7" width="10.42578125" style="2" customWidth="1"/>
    <col min="8" max="8" width="10.28515625" style="2" customWidth="1"/>
    <col min="9" max="9" width="10.85546875" style="2" customWidth="1"/>
    <col min="10" max="13" width="9.140625" style="274"/>
    <col min="14" max="14" width="18.140625" style="274" customWidth="1"/>
    <col min="15" max="15" width="16.85546875" style="274" customWidth="1"/>
    <col min="16" max="16" width="13.7109375" style="274" customWidth="1"/>
    <col min="17" max="17" width="14.42578125" style="274" customWidth="1"/>
    <col min="18" max="16384" width="9.140625" style="2"/>
  </cols>
  <sheetData>
    <row r="1" spans="1:9">
      <c r="B1" s="168" t="s">
        <v>138</v>
      </c>
      <c r="C1" s="168"/>
      <c r="D1" s="168"/>
      <c r="E1" s="168"/>
      <c r="F1" s="168"/>
      <c r="G1" s="168"/>
      <c r="H1" s="168"/>
      <c r="I1" s="168"/>
    </row>
    <row r="2" spans="1:9">
      <c r="B2" s="168" t="s">
        <v>139</v>
      </c>
      <c r="C2" s="168"/>
      <c r="D2" s="168"/>
      <c r="E2" s="168"/>
      <c r="F2" s="168"/>
      <c r="G2" s="168"/>
      <c r="H2" s="168"/>
      <c r="I2" s="168"/>
    </row>
    <row r="3" spans="1:9">
      <c r="B3" s="168" t="s">
        <v>140</v>
      </c>
      <c r="C3" s="168"/>
      <c r="D3" s="168"/>
      <c r="E3" s="168"/>
      <c r="F3" s="168"/>
      <c r="G3" s="168"/>
      <c r="H3" s="168"/>
      <c r="I3" s="168"/>
    </row>
    <row r="4" spans="1:9">
      <c r="B4" s="168" t="s">
        <v>148</v>
      </c>
      <c r="C4" s="168"/>
      <c r="D4" s="168"/>
      <c r="E4" s="168"/>
      <c r="F4" s="168"/>
      <c r="G4" s="168"/>
      <c r="H4" s="168"/>
      <c r="I4" s="168"/>
    </row>
    <row r="5" spans="1:9" ht="8.25" customHeight="1">
      <c r="B5" s="66"/>
      <c r="C5" s="66"/>
      <c r="D5" s="66"/>
      <c r="E5" s="66"/>
      <c r="F5" s="66"/>
      <c r="G5" s="66"/>
      <c r="H5" s="66"/>
      <c r="I5" s="66"/>
    </row>
    <row r="6" spans="1:9" ht="19.5" customHeight="1">
      <c r="A6" s="76"/>
      <c r="B6" s="200" t="s">
        <v>141</v>
      </c>
      <c r="C6" s="200"/>
      <c r="D6" s="200"/>
      <c r="E6" s="200"/>
      <c r="F6" s="200"/>
      <c r="G6" s="200"/>
      <c r="H6" s="200"/>
      <c r="I6" s="200"/>
    </row>
    <row r="7" spans="1:9" ht="15.75" customHeight="1">
      <c r="A7" s="76"/>
      <c r="B7" s="200"/>
      <c r="C7" s="200"/>
      <c r="D7" s="200"/>
      <c r="E7" s="200"/>
      <c r="F7" s="200"/>
      <c r="G7" s="200"/>
      <c r="H7" s="200"/>
      <c r="I7" s="200"/>
    </row>
    <row r="8" spans="1:9" ht="8.25" customHeight="1">
      <c r="B8" s="75"/>
      <c r="C8" s="75"/>
      <c r="D8" s="75"/>
      <c r="E8" s="75"/>
      <c r="F8" s="75"/>
      <c r="G8" s="75"/>
      <c r="H8" s="75"/>
    </row>
    <row r="9" spans="1:9">
      <c r="B9" s="6" t="s">
        <v>0</v>
      </c>
      <c r="C9" s="62"/>
      <c r="D9" s="80" t="s">
        <v>30</v>
      </c>
      <c r="E9" s="80"/>
      <c r="F9" s="74"/>
    </row>
    <row r="10" spans="1:9">
      <c r="B10" s="6" t="s">
        <v>1</v>
      </c>
      <c r="C10" s="62"/>
      <c r="D10" s="63">
        <v>1963</v>
      </c>
      <c r="E10" s="63"/>
      <c r="F10" s="13"/>
    </row>
    <row r="11" spans="1:9" hidden="1">
      <c r="B11" s="6" t="s">
        <v>2</v>
      </c>
      <c r="C11" s="62"/>
      <c r="D11" s="63">
        <v>4</v>
      </c>
      <c r="E11" s="63"/>
      <c r="F11" s="13"/>
    </row>
    <row r="12" spans="1:9" hidden="1">
      <c r="B12" s="6" t="s">
        <v>3</v>
      </c>
      <c r="C12" s="62"/>
      <c r="D12" s="63">
        <v>32</v>
      </c>
      <c r="E12" s="63"/>
      <c r="F12" s="13"/>
    </row>
    <row r="13" spans="1:9" ht="30.75" hidden="1" customHeight="1">
      <c r="B13" s="64" t="s">
        <v>4</v>
      </c>
      <c r="C13" s="65"/>
      <c r="D13" s="63" t="s">
        <v>31</v>
      </c>
      <c r="E13" s="63"/>
      <c r="F13" s="13"/>
    </row>
    <row r="14" spans="1:9">
      <c r="B14" s="6" t="s">
        <v>5</v>
      </c>
      <c r="C14" s="62"/>
      <c r="D14" s="63" t="s">
        <v>115</v>
      </c>
      <c r="E14" s="63"/>
      <c r="F14" s="13"/>
      <c r="I14" s="5"/>
    </row>
    <row r="15" spans="1:9" hidden="1">
      <c r="B15" s="2" t="s">
        <v>6</v>
      </c>
      <c r="D15" s="13" t="s">
        <v>7</v>
      </c>
      <c r="E15" s="13"/>
      <c r="F15" s="13"/>
    </row>
    <row r="16" spans="1:9" ht="30.75" hidden="1" customHeight="1">
      <c r="B16" s="14" t="s">
        <v>8</v>
      </c>
      <c r="C16" s="15"/>
      <c r="D16" s="208" t="s">
        <v>20</v>
      </c>
      <c r="E16" s="208"/>
      <c r="F16" s="13"/>
      <c r="I16" s="5"/>
    </row>
    <row r="17" spans="2:17" ht="19.5" customHeight="1" thickBot="1">
      <c r="B17" s="215" t="s">
        <v>144</v>
      </c>
      <c r="C17" s="215"/>
      <c r="D17" s="215"/>
      <c r="E17" s="215"/>
      <c r="F17" s="215"/>
      <c r="G17" s="215"/>
      <c r="H17" s="215"/>
      <c r="I17" s="215"/>
      <c r="M17" s="276"/>
      <c r="N17" s="277" t="s">
        <v>99</v>
      </c>
      <c r="O17" s="277" t="s">
        <v>100</v>
      </c>
      <c r="P17" s="277" t="s">
        <v>101</v>
      </c>
      <c r="Q17" s="277" t="s">
        <v>102</v>
      </c>
    </row>
    <row r="18" spans="2:17" ht="33" customHeight="1">
      <c r="B18" s="224" t="s">
        <v>97</v>
      </c>
      <c r="C18" s="218" t="s">
        <v>103</v>
      </c>
      <c r="D18" s="218" t="s">
        <v>132</v>
      </c>
      <c r="E18" s="175" t="s">
        <v>147</v>
      </c>
      <c r="F18" s="210" t="s">
        <v>146</v>
      </c>
      <c r="G18" s="213" t="s">
        <v>104</v>
      </c>
      <c r="H18" s="214"/>
      <c r="I18" s="201" t="s">
        <v>151</v>
      </c>
      <c r="M18" s="276"/>
      <c r="N18" s="277"/>
      <c r="O18" s="277"/>
      <c r="P18" s="277"/>
      <c r="Q18" s="277"/>
    </row>
    <row r="19" spans="2:17" s="9" customFormat="1" ht="43.9" customHeight="1" thickBot="1">
      <c r="B19" s="225"/>
      <c r="C19" s="219"/>
      <c r="D19" s="219"/>
      <c r="E19" s="176"/>
      <c r="F19" s="211"/>
      <c r="G19" s="16" t="s">
        <v>84</v>
      </c>
      <c r="H19" s="17" t="s">
        <v>85</v>
      </c>
      <c r="I19" s="202"/>
      <c r="J19" s="274"/>
      <c r="K19" s="274"/>
      <c r="L19" s="274"/>
      <c r="M19" s="274"/>
      <c r="N19" s="278">
        <v>87695.01</v>
      </c>
      <c r="O19" s="278">
        <f>175390.02-N19</f>
        <v>87695.01</v>
      </c>
      <c r="P19" s="278">
        <v>81227.39</v>
      </c>
      <c r="Q19" s="278">
        <v>92578.44</v>
      </c>
    </row>
    <row r="20" spans="2:17" s="3" customFormat="1" ht="49.5" customHeight="1">
      <c r="B20" s="18" t="s">
        <v>89</v>
      </c>
      <c r="C20" s="19" t="s">
        <v>105</v>
      </c>
      <c r="D20" s="20" t="s">
        <v>106</v>
      </c>
      <c r="E20" s="21">
        <v>1.05</v>
      </c>
      <c r="F20" s="21">
        <v>1.06</v>
      </c>
      <c r="G20" s="22">
        <f>($N$19/$N$20*E20)+($O$19/$O$20*F20)</f>
        <v>18615.339144869213</v>
      </c>
      <c r="H20" s="23">
        <f>($P$19/$P$20*E20)+($Q$19/$Q$20*F20)</f>
        <v>18452.908038229376</v>
      </c>
      <c r="I20" s="24">
        <f>G20-H20</f>
        <v>162.4311066398368</v>
      </c>
      <c r="J20" s="279"/>
      <c r="K20" s="280"/>
      <c r="L20" s="280"/>
      <c r="M20" s="281"/>
      <c r="N20" s="282">
        <f>E31-E29-E27</f>
        <v>9.94</v>
      </c>
      <c r="O20" s="282">
        <f>F31-F29-F27</f>
        <v>9.9400000000000013</v>
      </c>
      <c r="P20" s="282">
        <f>E31-E29-E27</f>
        <v>9.94</v>
      </c>
      <c r="Q20" s="282">
        <f>F31-F29-F27</f>
        <v>9.9400000000000013</v>
      </c>
    </row>
    <row r="21" spans="2:17" ht="51">
      <c r="B21" s="26" t="s">
        <v>93</v>
      </c>
      <c r="C21" s="19" t="s">
        <v>105</v>
      </c>
      <c r="D21" s="20" t="s">
        <v>106</v>
      </c>
      <c r="E21" s="27">
        <v>1.17</v>
      </c>
      <c r="F21" s="27">
        <v>1.19</v>
      </c>
      <c r="G21" s="22">
        <f t="shared" ref="G21:G30" si="0">($N$19/$N$20*E21)+($O$19/$O$20*F21)</f>
        <v>20820.948048289734</v>
      </c>
      <c r="H21" s="23">
        <f t="shared" ref="H21:H26" si="1">($P$19/$P$20*E21)+($Q$19/$Q$20*F21)</f>
        <v>20644.304818913479</v>
      </c>
      <c r="I21" s="24">
        <f t="shared" ref="I21:I28" si="2">G21-H21</f>
        <v>176.64322937625548</v>
      </c>
      <c r="J21" s="283"/>
      <c r="K21" s="284"/>
      <c r="L21" s="284"/>
      <c r="M21" s="284"/>
      <c r="N21" s="285"/>
      <c r="O21" s="284"/>
      <c r="P21" s="284"/>
      <c r="Q21" s="284"/>
    </row>
    <row r="22" spans="2:17" ht="54" customHeight="1">
      <c r="B22" s="30" t="s">
        <v>86</v>
      </c>
      <c r="C22" s="19" t="s">
        <v>105</v>
      </c>
      <c r="D22" s="20" t="s">
        <v>106</v>
      </c>
      <c r="E22" s="27">
        <v>0.27</v>
      </c>
      <c r="F22" s="27">
        <v>0.32</v>
      </c>
      <c r="G22" s="22">
        <f t="shared" si="0"/>
        <v>5205.2370120724336</v>
      </c>
      <c r="H22" s="23">
        <f t="shared" si="1"/>
        <v>5186.770231388331</v>
      </c>
      <c r="I22" s="24">
        <f t="shared" si="2"/>
        <v>18.466780684102559</v>
      </c>
      <c r="J22" s="286"/>
      <c r="M22" s="276"/>
    </row>
    <row r="23" spans="2:17">
      <c r="B23" s="30" t="s">
        <v>181</v>
      </c>
      <c r="C23" s="19" t="s">
        <v>183</v>
      </c>
      <c r="D23" s="20" t="s">
        <v>106</v>
      </c>
      <c r="E23" s="27"/>
      <c r="F23" s="27"/>
      <c r="G23" s="22"/>
      <c r="H23" s="23">
        <v>5713</v>
      </c>
      <c r="I23" s="24">
        <f t="shared" si="2"/>
        <v>-5713</v>
      </c>
      <c r="J23" s="286"/>
      <c r="M23" s="276"/>
    </row>
    <row r="24" spans="2:17" ht="25.5">
      <c r="B24" s="30" t="s">
        <v>87</v>
      </c>
      <c r="C24" s="32" t="s">
        <v>107</v>
      </c>
      <c r="D24" s="20" t="s">
        <v>106</v>
      </c>
      <c r="E24" s="27">
        <v>0.14000000000000001</v>
      </c>
      <c r="F24" s="27">
        <v>0.19</v>
      </c>
      <c r="G24" s="22">
        <f t="shared" si="0"/>
        <v>2911.4037525150907</v>
      </c>
      <c r="H24" s="23">
        <f t="shared" si="1"/>
        <v>2913.6557545271635</v>
      </c>
      <c r="I24" s="24">
        <f t="shared" si="2"/>
        <v>-2.2520020120728077</v>
      </c>
      <c r="J24" s="286"/>
      <c r="M24" s="276"/>
    </row>
    <row r="25" spans="2:17" ht="51">
      <c r="B25" s="26" t="s">
        <v>90</v>
      </c>
      <c r="C25" s="19" t="s">
        <v>170</v>
      </c>
      <c r="D25" s="20" t="s">
        <v>106</v>
      </c>
      <c r="E25" s="27">
        <v>1.33</v>
      </c>
      <c r="F25" s="27">
        <v>1.18</v>
      </c>
      <c r="G25" s="22">
        <f t="shared" si="0"/>
        <v>22144.313390342049</v>
      </c>
      <c r="H25" s="23">
        <f t="shared" si="1"/>
        <v>21858.650694164993</v>
      </c>
      <c r="I25" s="24">
        <f t="shared" si="2"/>
        <v>285.6626961770562</v>
      </c>
      <c r="J25" s="286"/>
    </row>
    <row r="26" spans="2:17" s="3" customFormat="1" ht="234.75" customHeight="1">
      <c r="B26" s="26" t="s">
        <v>145</v>
      </c>
      <c r="C26" s="19" t="s">
        <v>109</v>
      </c>
      <c r="D26" s="20" t="s">
        <v>106</v>
      </c>
      <c r="E26" s="27">
        <v>5.6</v>
      </c>
      <c r="F26" s="27">
        <v>5.61</v>
      </c>
      <c r="G26" s="22">
        <f t="shared" si="0"/>
        <v>98899.503229376249</v>
      </c>
      <c r="H26" s="23">
        <f t="shared" si="1"/>
        <v>98011.914728370233</v>
      </c>
      <c r="I26" s="24">
        <f t="shared" si="2"/>
        <v>887.58850100601558</v>
      </c>
      <c r="J26" s="283"/>
      <c r="K26" s="284"/>
      <c r="L26" s="284"/>
      <c r="M26" s="285"/>
      <c r="N26" s="284"/>
      <c r="O26" s="284"/>
      <c r="P26" s="284"/>
      <c r="Q26" s="284"/>
    </row>
    <row r="27" spans="2:17" ht="30" customHeight="1">
      <c r="B27" s="30" t="s">
        <v>108</v>
      </c>
      <c r="C27" s="19" t="s">
        <v>107</v>
      </c>
      <c r="D27" s="20" t="s">
        <v>106</v>
      </c>
      <c r="E27" s="27">
        <v>2</v>
      </c>
      <c r="F27" s="27">
        <v>2</v>
      </c>
      <c r="G27" s="22">
        <v>35289.599999999999</v>
      </c>
      <c r="H27" s="28">
        <v>29982.87</v>
      </c>
      <c r="I27" s="24">
        <f>H27-G27</f>
        <v>-5306.73</v>
      </c>
      <c r="J27" s="286"/>
    </row>
    <row r="28" spans="2:17" ht="102">
      <c r="B28" s="26" t="s">
        <v>111</v>
      </c>
      <c r="C28" s="19" t="s">
        <v>105</v>
      </c>
      <c r="D28" s="20" t="s">
        <v>106</v>
      </c>
      <c r="E28" s="27">
        <v>0.21</v>
      </c>
      <c r="F28" s="27">
        <v>0.24</v>
      </c>
      <c r="G28" s="22">
        <f t="shared" si="0"/>
        <v>3970.0960261569412</v>
      </c>
      <c r="H28" s="23">
        <f t="shared" ref="H28" si="3">($P$19/$P$20*E28)+($Q$19/$Q$20*F28)</f>
        <v>3951.3659456740443</v>
      </c>
      <c r="I28" s="24">
        <f t="shared" si="2"/>
        <v>18.730080482896938</v>
      </c>
      <c r="J28" s="286"/>
    </row>
    <row r="29" spans="2:17" ht="57" customHeight="1">
      <c r="B29" s="30" t="s">
        <v>94</v>
      </c>
      <c r="C29" s="19" t="s">
        <v>105</v>
      </c>
      <c r="D29" s="20" t="s">
        <v>106</v>
      </c>
      <c r="E29" s="27">
        <v>3.61</v>
      </c>
      <c r="F29" s="27">
        <v>3.61</v>
      </c>
      <c r="G29" s="22">
        <v>63697.98</v>
      </c>
      <c r="H29" s="28">
        <v>61970</v>
      </c>
      <c r="I29" s="24">
        <f>G29-H29</f>
        <v>1727.9800000000032</v>
      </c>
      <c r="J29" s="286"/>
      <c r="M29" s="276"/>
    </row>
    <row r="30" spans="2:17" s="74" customFormat="1" ht="18" customHeight="1" thickBot="1">
      <c r="B30" s="69" t="s">
        <v>88</v>
      </c>
      <c r="C30" s="34" t="s">
        <v>109</v>
      </c>
      <c r="D30" s="35" t="s">
        <v>106</v>
      </c>
      <c r="E30" s="36">
        <v>0.17</v>
      </c>
      <c r="F30" s="36">
        <v>0.15</v>
      </c>
      <c r="G30" s="37">
        <f t="shared" si="0"/>
        <v>2823.1793963782693</v>
      </c>
      <c r="H30" s="73">
        <f t="shared" ref="H30" si="4">($P$19/$P$20*E30)+($Q$19/$Q$20*F30)</f>
        <v>2786.2597887323946</v>
      </c>
      <c r="I30" s="24">
        <f>G30-H30</f>
        <v>36.919607645874748</v>
      </c>
      <c r="J30" s="286"/>
      <c r="K30" s="274"/>
      <c r="L30" s="274"/>
      <c r="M30" s="274"/>
      <c r="N30" s="274"/>
      <c r="O30" s="274"/>
      <c r="P30" s="274"/>
      <c r="Q30" s="274"/>
    </row>
    <row r="31" spans="2:17" s="4" customFormat="1" ht="16.5" thickBot="1">
      <c r="B31" s="39" t="s">
        <v>92</v>
      </c>
      <c r="C31" s="40"/>
      <c r="D31" s="40"/>
      <c r="E31" s="41">
        <f>SUM(E20:E30)</f>
        <v>15.549999999999999</v>
      </c>
      <c r="F31" s="42">
        <f>SUM(F20:F30)</f>
        <v>15.55</v>
      </c>
      <c r="G31" s="43">
        <f>SUM(G20:G30)</f>
        <v>274377.59999999998</v>
      </c>
      <c r="H31" s="44">
        <f>SUM(H20:H30)</f>
        <v>271471.7</v>
      </c>
      <c r="I31" s="45">
        <f>SUM(I20:I30)</f>
        <v>-7707.5600000000295</v>
      </c>
      <c r="J31" s="286"/>
      <c r="K31" s="276"/>
      <c r="L31" s="276"/>
      <c r="M31" s="274"/>
      <c r="N31" s="274"/>
      <c r="O31" s="274"/>
      <c r="P31" s="274"/>
      <c r="Q31" s="274"/>
    </row>
    <row r="32" spans="2:17">
      <c r="B32" s="5"/>
      <c r="C32" s="5"/>
      <c r="D32" s="5"/>
      <c r="E32" s="12"/>
      <c r="F32" s="12"/>
      <c r="G32" s="12"/>
      <c r="H32" s="12"/>
      <c r="I32" s="4"/>
    </row>
    <row r="33" spans="2:17" ht="16.5" customHeight="1" thickBot="1">
      <c r="B33" s="177" t="s">
        <v>143</v>
      </c>
      <c r="C33" s="177"/>
      <c r="D33" s="177"/>
      <c r="E33" s="177"/>
      <c r="F33" s="177"/>
      <c r="G33" s="177"/>
      <c r="H33" s="177"/>
      <c r="I33" s="177"/>
      <c r="J33" s="287"/>
      <c r="K33" s="287"/>
    </row>
    <row r="34" spans="2:17" ht="55.5" customHeight="1">
      <c r="B34" s="46"/>
      <c r="C34" s="47"/>
      <c r="D34" s="182" t="s">
        <v>110</v>
      </c>
      <c r="E34" s="183"/>
      <c r="F34" s="171" t="s">
        <v>9</v>
      </c>
      <c r="G34" s="172"/>
      <c r="H34" s="171" t="s">
        <v>182</v>
      </c>
      <c r="I34" s="223"/>
      <c r="J34" s="288"/>
      <c r="K34" s="289"/>
      <c r="L34" s="290"/>
      <c r="M34" s="291"/>
      <c r="N34" s="292"/>
      <c r="O34" s="292"/>
      <c r="P34" s="292"/>
      <c r="Q34" s="292"/>
    </row>
    <row r="35" spans="2:17">
      <c r="B35" s="48" t="s">
        <v>11</v>
      </c>
      <c r="C35" s="49"/>
      <c r="D35" s="169">
        <f>F35+H35</f>
        <v>274377.59999999998</v>
      </c>
      <c r="E35" s="184"/>
      <c r="F35" s="169">
        <f>175390.02+35289.6</f>
        <v>210679.62</v>
      </c>
      <c r="G35" s="184"/>
      <c r="H35" s="169">
        <f>G29</f>
        <v>63697.98</v>
      </c>
      <c r="I35" s="180"/>
      <c r="J35" s="293"/>
      <c r="K35" s="298"/>
      <c r="L35" s="295">
        <v>47749.3</v>
      </c>
      <c r="M35" s="295">
        <v>322126.90000000002</v>
      </c>
      <c r="N35" s="296">
        <f>M35-L35</f>
        <v>274377.60000000003</v>
      </c>
      <c r="O35" s="297">
        <f>N35-D35</f>
        <v>0</v>
      </c>
    </row>
    <row r="36" spans="2:17" s="3" customFormat="1">
      <c r="B36" s="48" t="s">
        <v>12</v>
      </c>
      <c r="C36" s="49"/>
      <c r="D36" s="169">
        <f>F36+H36</f>
        <v>236222.27</v>
      </c>
      <c r="E36" s="184"/>
      <c r="F36" s="169">
        <f>151292.93+29982.87</f>
        <v>181275.8</v>
      </c>
      <c r="G36" s="184"/>
      <c r="H36" s="169">
        <v>54946.47</v>
      </c>
      <c r="I36" s="180"/>
      <c r="J36" s="293"/>
      <c r="K36" s="298"/>
      <c r="L36" s="299">
        <v>1025.17</v>
      </c>
      <c r="M36" s="295">
        <v>237247.44</v>
      </c>
      <c r="N36" s="296">
        <f>M36-L36</f>
        <v>236222.27</v>
      </c>
      <c r="O36" s="297">
        <f>N36-D36</f>
        <v>0</v>
      </c>
      <c r="P36" s="274"/>
      <c r="Q36" s="274"/>
    </row>
    <row r="37" spans="2:17" s="3" customFormat="1" ht="16.5" thickBot="1">
      <c r="B37" s="51" t="s">
        <v>91</v>
      </c>
      <c r="C37" s="52"/>
      <c r="D37" s="187">
        <f>F37+H37</f>
        <v>271471.7</v>
      </c>
      <c r="E37" s="189"/>
      <c r="F37" s="187">
        <f>H20+H21+H22+H24+H25+H26+H27+H28+H30</f>
        <v>203788.7</v>
      </c>
      <c r="G37" s="189"/>
      <c r="H37" s="187">
        <f>H29+H23</f>
        <v>67683</v>
      </c>
      <c r="I37" s="220"/>
      <c r="J37" s="293"/>
      <c r="K37" s="298"/>
      <c r="L37" s="286"/>
      <c r="M37" s="286"/>
      <c r="N37" s="274"/>
      <c r="O37" s="274"/>
      <c r="P37" s="274"/>
      <c r="Q37" s="274"/>
    </row>
    <row r="38" spans="2:17" s="3" customFormat="1" ht="30" customHeight="1" thickBot="1">
      <c r="B38" s="53" t="s">
        <v>156</v>
      </c>
      <c r="C38" s="54"/>
      <c r="D38" s="198">
        <f>F38+H38</f>
        <v>-35249.430000000022</v>
      </c>
      <c r="E38" s="199"/>
      <c r="F38" s="191">
        <f>F36-F37</f>
        <v>-22512.900000000023</v>
      </c>
      <c r="G38" s="221"/>
      <c r="H38" s="191">
        <f>H36-H37</f>
        <v>-12736.529999999999</v>
      </c>
      <c r="I38" s="222"/>
      <c r="J38" s="293"/>
      <c r="K38" s="298"/>
      <c r="L38" s="286"/>
      <c r="M38" s="286"/>
      <c r="N38" s="274"/>
      <c r="O38" s="274"/>
      <c r="P38" s="274"/>
      <c r="Q38" s="274"/>
    </row>
    <row r="39" spans="2:17" ht="24" customHeight="1">
      <c r="B39" s="70" t="s">
        <v>79</v>
      </c>
      <c r="C39" s="70"/>
      <c r="D39" s="70"/>
      <c r="E39" s="212" t="s">
        <v>80</v>
      </c>
      <c r="F39" s="212"/>
      <c r="G39" s="195" t="s">
        <v>13</v>
      </c>
      <c r="H39" s="195"/>
      <c r="I39" s="55"/>
      <c r="J39" s="300"/>
      <c r="K39" s="284"/>
      <c r="L39" s="284"/>
      <c r="M39" s="284"/>
      <c r="N39" s="284"/>
      <c r="O39" s="284"/>
      <c r="P39" s="284"/>
      <c r="Q39" s="284"/>
    </row>
    <row r="40" spans="2:17" ht="10.5" customHeight="1">
      <c r="B40" s="70"/>
      <c r="C40" s="70"/>
      <c r="D40" s="70"/>
      <c r="E40" s="185" t="s">
        <v>14</v>
      </c>
      <c r="F40" s="185"/>
      <c r="G40" s="196"/>
      <c r="H40" s="196"/>
      <c r="I40" s="55"/>
      <c r="J40" s="300"/>
      <c r="K40" s="284"/>
      <c r="L40" s="284"/>
      <c r="M40" s="284"/>
      <c r="N40" s="284"/>
      <c r="O40" s="284"/>
      <c r="P40" s="284"/>
      <c r="Q40" s="284"/>
    </row>
    <row r="41" spans="2:17" ht="18.75" customHeight="1">
      <c r="B41" s="70" t="s">
        <v>81</v>
      </c>
      <c r="C41" s="70"/>
      <c r="D41" s="70"/>
      <c r="E41" s="186" t="s">
        <v>80</v>
      </c>
      <c r="F41" s="186"/>
      <c r="G41" s="195" t="s">
        <v>96</v>
      </c>
      <c r="H41" s="195"/>
      <c r="I41" s="55"/>
      <c r="J41" s="300"/>
      <c r="K41" s="284"/>
      <c r="L41" s="284"/>
      <c r="M41" s="284"/>
      <c r="N41" s="284"/>
      <c r="O41" s="284"/>
      <c r="P41" s="284"/>
      <c r="Q41" s="284"/>
    </row>
    <row r="42" spans="2:17" ht="9" customHeight="1">
      <c r="B42" s="70"/>
      <c r="C42" s="70"/>
      <c r="D42" s="70"/>
      <c r="E42" s="185" t="s">
        <v>14</v>
      </c>
      <c r="F42" s="185"/>
      <c r="G42" s="195"/>
      <c r="H42" s="195"/>
      <c r="I42" s="55"/>
      <c r="J42" s="300"/>
    </row>
    <row r="43" spans="2:17" ht="18" customHeight="1">
      <c r="B43" s="70" t="s">
        <v>82</v>
      </c>
      <c r="C43" s="70"/>
      <c r="D43" s="70"/>
      <c r="E43" s="186" t="s">
        <v>80</v>
      </c>
      <c r="F43" s="186"/>
      <c r="G43" s="195" t="s">
        <v>98</v>
      </c>
      <c r="H43" s="195"/>
      <c r="I43" s="55"/>
      <c r="J43" s="300"/>
    </row>
    <row r="44" spans="2:17" ht="9.75" customHeight="1">
      <c r="B44" s="58"/>
      <c r="C44" s="58"/>
      <c r="D44" s="58"/>
      <c r="E44" s="185" t="s">
        <v>14</v>
      </c>
      <c r="F44" s="185"/>
      <c r="G44" s="59"/>
      <c r="H44" s="57"/>
      <c r="I44" s="60"/>
      <c r="J44" s="296"/>
    </row>
    <row r="45" spans="2:17">
      <c r="B45" s="70" t="s">
        <v>83</v>
      </c>
      <c r="C45" s="70"/>
      <c r="D45" s="70"/>
      <c r="E45" s="186" t="s">
        <v>80</v>
      </c>
      <c r="F45" s="186"/>
      <c r="G45" s="195" t="s">
        <v>142</v>
      </c>
      <c r="H45" s="195"/>
      <c r="I45" s="55"/>
      <c r="J45" s="300"/>
    </row>
    <row r="46" spans="2:17" ht="12" customHeight="1">
      <c r="B46" s="8"/>
      <c r="C46" s="8"/>
      <c r="D46" s="8"/>
      <c r="E46" s="185" t="s">
        <v>14</v>
      </c>
      <c r="F46" s="185"/>
      <c r="G46" s="185"/>
      <c r="H46" s="185"/>
      <c r="I46" s="4"/>
      <c r="J46" s="292"/>
    </row>
    <row r="47" spans="2:17">
      <c r="B47" s="8"/>
      <c r="C47" s="77"/>
      <c r="D47" s="78"/>
      <c r="E47" s="79"/>
      <c r="F47" s="79"/>
      <c r="G47" s="8"/>
      <c r="H47" s="8"/>
    </row>
    <row r="48" spans="2:17">
      <c r="E48" s="61"/>
    </row>
    <row r="49" spans="2:2">
      <c r="B49" s="2" t="s">
        <v>157</v>
      </c>
    </row>
  </sheetData>
  <mergeCells count="45">
    <mergeCell ref="B1:I1"/>
    <mergeCell ref="B6:I7"/>
    <mergeCell ref="E44:F44"/>
    <mergeCell ref="E45:F45"/>
    <mergeCell ref="G45:H45"/>
    <mergeCell ref="E40:F40"/>
    <mergeCell ref="G40:H40"/>
    <mergeCell ref="E41:F41"/>
    <mergeCell ref="G41:H41"/>
    <mergeCell ref="H38:I38"/>
    <mergeCell ref="E39:F39"/>
    <mergeCell ref="G39:H39"/>
    <mergeCell ref="D38:E38"/>
    <mergeCell ref="F38:G38"/>
    <mergeCell ref="F35:G35"/>
    <mergeCell ref="H35:I35"/>
    <mergeCell ref="E46:F46"/>
    <mergeCell ref="G46:H46"/>
    <mergeCell ref="E42:F42"/>
    <mergeCell ref="G42:H42"/>
    <mergeCell ref="E43:F43"/>
    <mergeCell ref="G43:H43"/>
    <mergeCell ref="D35:E35"/>
    <mergeCell ref="D36:E36"/>
    <mergeCell ref="B33:I33"/>
    <mergeCell ref="H37:I37"/>
    <mergeCell ref="D37:E37"/>
    <mergeCell ref="F36:G36"/>
    <mergeCell ref="F37:G37"/>
    <mergeCell ref="H36:I36"/>
    <mergeCell ref="G18:H18"/>
    <mergeCell ref="I18:I19"/>
    <mergeCell ref="F34:G34"/>
    <mergeCell ref="H34:I34"/>
    <mergeCell ref="B18:B19"/>
    <mergeCell ref="C18:C19"/>
    <mergeCell ref="D18:D19"/>
    <mergeCell ref="E18:E19"/>
    <mergeCell ref="F18:F19"/>
    <mergeCell ref="D34:E34"/>
    <mergeCell ref="B2:I2"/>
    <mergeCell ref="B3:I3"/>
    <mergeCell ref="B4:I4"/>
    <mergeCell ref="D16:E16"/>
    <mergeCell ref="B17:I17"/>
  </mergeCells>
  <printOptions horizontalCentered="1"/>
  <pageMargins left="0.2" right="0.2" top="0.15748031496062992" bottom="0.23622047244094491" header="0.15748031496062992" footer="0.24"/>
  <pageSetup paperSize="9" scale="4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Q47"/>
  <sheetViews>
    <sheetView zoomScale="110" zoomScaleNormal="110" workbookViewId="0">
      <selection activeCell="J22" sqref="J22"/>
    </sheetView>
  </sheetViews>
  <sheetFormatPr defaultColWidth="9.140625" defaultRowHeight="15.75" outlineLevelRow="1"/>
  <cols>
    <col min="1" max="1" width="2.85546875" style="2" customWidth="1"/>
    <col min="2" max="2" width="55.42578125" style="2" customWidth="1"/>
    <col min="3" max="3" width="12.5703125" style="12" customWidth="1"/>
    <col min="4" max="4" width="8.28515625" style="4" customWidth="1"/>
    <col min="5" max="6" width="9.42578125" style="4" customWidth="1"/>
    <col min="7" max="7" width="10.42578125" style="2" customWidth="1"/>
    <col min="8" max="8" width="10.28515625" style="2" customWidth="1"/>
    <col min="9" max="9" width="9.85546875" style="2" customWidth="1"/>
    <col min="10" max="13" width="9.140625" style="274"/>
    <col min="14" max="15" width="14.42578125" style="274" customWidth="1"/>
    <col min="16" max="16" width="12.28515625" style="274" customWidth="1"/>
    <col min="17" max="17" width="12.42578125" style="274" customWidth="1"/>
    <col min="18" max="16384" width="9.140625" style="2"/>
  </cols>
  <sheetData>
    <row r="1" spans="1:9">
      <c r="B1" s="168" t="s">
        <v>138</v>
      </c>
      <c r="C1" s="168"/>
      <c r="D1" s="168"/>
      <c r="E1" s="168"/>
      <c r="F1" s="168"/>
      <c r="G1" s="168"/>
      <c r="H1" s="168"/>
      <c r="I1" s="168"/>
    </row>
    <row r="2" spans="1:9">
      <c r="B2" s="168" t="s">
        <v>139</v>
      </c>
      <c r="C2" s="168"/>
      <c r="D2" s="168"/>
      <c r="E2" s="168"/>
      <c r="F2" s="168"/>
      <c r="G2" s="168"/>
      <c r="H2" s="168"/>
      <c r="I2" s="168"/>
    </row>
    <row r="3" spans="1:9">
      <c r="B3" s="168" t="s">
        <v>140</v>
      </c>
      <c r="C3" s="168"/>
      <c r="D3" s="168"/>
      <c r="E3" s="168"/>
      <c r="F3" s="168"/>
      <c r="G3" s="168"/>
      <c r="H3" s="168"/>
      <c r="I3" s="168"/>
    </row>
    <row r="4" spans="1:9">
      <c r="B4" s="168" t="s">
        <v>148</v>
      </c>
      <c r="C4" s="168"/>
      <c r="D4" s="168"/>
      <c r="E4" s="168"/>
      <c r="F4" s="168"/>
      <c r="G4" s="168"/>
      <c r="H4" s="168"/>
      <c r="I4" s="168"/>
    </row>
    <row r="5" spans="1:9" ht="9.75" customHeight="1">
      <c r="B5" s="66"/>
      <c r="C5" s="66"/>
      <c r="D5" s="66"/>
      <c r="E5" s="66"/>
      <c r="F5" s="66"/>
      <c r="G5" s="66"/>
      <c r="H5" s="66"/>
      <c r="I5" s="66"/>
    </row>
    <row r="6" spans="1:9" ht="19.5" customHeight="1">
      <c r="A6" s="81"/>
      <c r="B6" s="200" t="s">
        <v>141</v>
      </c>
      <c r="C6" s="200"/>
      <c r="D6" s="200"/>
      <c r="E6" s="200"/>
      <c r="F6" s="200"/>
      <c r="G6" s="200"/>
      <c r="H6" s="200"/>
      <c r="I6" s="200"/>
    </row>
    <row r="7" spans="1:9" ht="20.25" customHeight="1">
      <c r="A7" s="81"/>
      <c r="B7" s="200"/>
      <c r="C7" s="200"/>
      <c r="D7" s="200"/>
      <c r="E7" s="200"/>
      <c r="F7" s="200"/>
      <c r="G7" s="200"/>
      <c r="H7" s="200"/>
      <c r="I7" s="200"/>
    </row>
    <row r="8" spans="1:9" ht="9" customHeight="1">
      <c r="B8" s="75"/>
      <c r="C8" s="75"/>
      <c r="D8" s="75"/>
      <c r="E8" s="75"/>
      <c r="F8" s="75"/>
      <c r="G8" s="75"/>
      <c r="H8" s="75"/>
      <c r="I8" s="75"/>
    </row>
    <row r="9" spans="1:9">
      <c r="B9" s="6" t="s">
        <v>0</v>
      </c>
      <c r="C9" s="62"/>
      <c r="D9" s="207" t="s">
        <v>32</v>
      </c>
      <c r="E9" s="207"/>
      <c r="F9" s="207"/>
    </row>
    <row r="10" spans="1:9">
      <c r="B10" s="6" t="s">
        <v>1</v>
      </c>
      <c r="C10" s="62"/>
      <c r="D10" s="63">
        <v>1965</v>
      </c>
      <c r="E10" s="63"/>
      <c r="F10" s="63"/>
    </row>
    <row r="11" spans="1:9" hidden="1" outlineLevel="1">
      <c r="B11" s="6" t="s">
        <v>2</v>
      </c>
      <c r="C11" s="62"/>
      <c r="D11" s="63">
        <v>4</v>
      </c>
      <c r="E11" s="63"/>
      <c r="F11" s="63"/>
    </row>
    <row r="12" spans="1:9" hidden="1" outlineLevel="1">
      <c r="B12" s="6" t="s">
        <v>3</v>
      </c>
      <c r="C12" s="62"/>
      <c r="D12" s="63">
        <v>32</v>
      </c>
      <c r="E12" s="63"/>
      <c r="F12" s="63"/>
    </row>
    <row r="13" spans="1:9" ht="30.75" hidden="1" customHeight="1" outlineLevel="1">
      <c r="B13" s="64" t="s">
        <v>4</v>
      </c>
      <c r="C13" s="65"/>
      <c r="D13" s="63" t="s">
        <v>33</v>
      </c>
      <c r="E13" s="63"/>
      <c r="F13" s="63"/>
    </row>
    <row r="14" spans="1:9" collapsed="1">
      <c r="B14" s="6" t="s">
        <v>5</v>
      </c>
      <c r="C14" s="62"/>
      <c r="D14" s="63" t="s">
        <v>116</v>
      </c>
      <c r="E14" s="63"/>
      <c r="F14" s="63"/>
      <c r="I14" s="5"/>
    </row>
    <row r="15" spans="1:9" hidden="1" outlineLevel="1">
      <c r="B15" s="2" t="s">
        <v>6</v>
      </c>
      <c r="D15" s="13" t="s">
        <v>7</v>
      </c>
      <c r="E15" s="13"/>
      <c r="F15" s="13"/>
    </row>
    <row r="16" spans="1:9" ht="30.75" hidden="1" customHeight="1" outlineLevel="1">
      <c r="B16" s="14" t="s">
        <v>8</v>
      </c>
      <c r="C16" s="15"/>
      <c r="D16" s="208" t="s">
        <v>34</v>
      </c>
      <c r="E16" s="208"/>
      <c r="F16" s="13"/>
      <c r="I16" s="5"/>
    </row>
    <row r="17" spans="2:17" ht="18.75" customHeight="1" collapsed="1" thickBot="1">
      <c r="B17" s="215" t="s">
        <v>144</v>
      </c>
      <c r="C17" s="215"/>
      <c r="D17" s="215"/>
      <c r="E17" s="215"/>
      <c r="F17" s="215"/>
      <c r="G17" s="215"/>
      <c r="H17" s="215"/>
      <c r="I17" s="215"/>
      <c r="M17" s="276"/>
      <c r="N17" s="277" t="s">
        <v>99</v>
      </c>
      <c r="O17" s="277" t="s">
        <v>100</v>
      </c>
      <c r="P17" s="277" t="s">
        <v>101</v>
      </c>
      <c r="Q17" s="277" t="s">
        <v>102</v>
      </c>
    </row>
    <row r="18" spans="2:17" ht="34.5" customHeight="1">
      <c r="B18" s="224" t="s">
        <v>97</v>
      </c>
      <c r="C18" s="218" t="s">
        <v>103</v>
      </c>
      <c r="D18" s="218" t="s">
        <v>133</v>
      </c>
      <c r="E18" s="175" t="s">
        <v>147</v>
      </c>
      <c r="F18" s="210" t="s">
        <v>146</v>
      </c>
      <c r="G18" s="213" t="s">
        <v>104</v>
      </c>
      <c r="H18" s="214"/>
      <c r="I18" s="201" t="s">
        <v>151</v>
      </c>
      <c r="M18" s="276"/>
      <c r="N18" s="277"/>
      <c r="O18" s="277"/>
      <c r="P18" s="277"/>
      <c r="Q18" s="277"/>
    </row>
    <row r="19" spans="2:17" ht="44.25" customHeight="1" thickBot="1">
      <c r="B19" s="225"/>
      <c r="C19" s="219"/>
      <c r="D19" s="219"/>
      <c r="E19" s="176"/>
      <c r="F19" s="211"/>
      <c r="G19" s="16" t="s">
        <v>84</v>
      </c>
      <c r="H19" s="17" t="s">
        <v>85</v>
      </c>
      <c r="I19" s="202"/>
      <c r="N19" s="278">
        <v>86808.08</v>
      </c>
      <c r="O19" s="278">
        <f>173655.51-N19</f>
        <v>86847.430000000008</v>
      </c>
      <c r="P19" s="278">
        <v>82546.95</v>
      </c>
      <c r="Q19" s="278">
        <v>94082.4</v>
      </c>
    </row>
    <row r="20" spans="2:17" ht="51" customHeight="1">
      <c r="B20" s="18" t="s">
        <v>89</v>
      </c>
      <c r="C20" s="19" t="s">
        <v>105</v>
      </c>
      <c r="D20" s="20" t="s">
        <v>106</v>
      </c>
      <c r="E20" s="21">
        <v>1.05</v>
      </c>
      <c r="F20" s="21">
        <v>1.06</v>
      </c>
      <c r="G20" s="22">
        <f>($N$19/$N$20*E20)+($O$19/$O$20*F20)</f>
        <v>18713.662900919309</v>
      </c>
      <c r="H20" s="23">
        <f>($P$19/$P$20*E20)+($Q$19/$Q$20*F20)</f>
        <v>19040.00423901941</v>
      </c>
      <c r="I20" s="24">
        <f>G20-H20</f>
        <v>-326.34133810010098</v>
      </c>
      <c r="J20" s="279"/>
      <c r="K20" s="280"/>
      <c r="L20" s="280"/>
      <c r="M20" s="281"/>
      <c r="N20" s="282">
        <f>E30-E28-E26</f>
        <v>9.7899999999999991</v>
      </c>
      <c r="O20" s="282">
        <f>F30-F28-F26</f>
        <v>9.7899999999999991</v>
      </c>
      <c r="P20" s="282">
        <f>E30-E28-E26</f>
        <v>9.7899999999999991</v>
      </c>
      <c r="Q20" s="282">
        <f>F30-F28-F26</f>
        <v>9.7899999999999991</v>
      </c>
    </row>
    <row r="21" spans="2:17" ht="51">
      <c r="B21" s="26" t="s">
        <v>93</v>
      </c>
      <c r="C21" s="19" t="s">
        <v>105</v>
      </c>
      <c r="D21" s="20" t="s">
        <v>106</v>
      </c>
      <c r="E21" s="27">
        <v>1.17</v>
      </c>
      <c r="F21" s="27">
        <v>1.19</v>
      </c>
      <c r="G21" s="22">
        <f t="shared" ref="G21:G29" si="0">($N$19/$N$20*E21)+($O$19/$O$20*F21)</f>
        <v>20930.939254341167</v>
      </c>
      <c r="H21" s="23">
        <f t="shared" ref="H21:H25" si="1">($P$19/$P$20*E21)+($Q$19/$Q$20*F21)</f>
        <v>21301.122318692545</v>
      </c>
      <c r="I21" s="24">
        <f t="shared" ref="I21:I27" si="2">G21-H21</f>
        <v>-370.18306435137856</v>
      </c>
      <c r="J21" s="283"/>
      <c r="K21" s="284"/>
      <c r="L21" s="284"/>
      <c r="M21" s="284"/>
      <c r="N21" s="285"/>
      <c r="O21" s="284"/>
      <c r="P21" s="284"/>
      <c r="Q21" s="284"/>
    </row>
    <row r="22" spans="2:17" ht="61.5" customHeight="1">
      <c r="B22" s="30" t="s">
        <v>86</v>
      </c>
      <c r="C22" s="19" t="s">
        <v>105</v>
      </c>
      <c r="D22" s="20" t="s">
        <v>106</v>
      </c>
      <c r="E22" s="27">
        <v>0.27</v>
      </c>
      <c r="F22" s="27">
        <v>0.32</v>
      </c>
      <c r="G22" s="22">
        <f t="shared" si="0"/>
        <v>5232.8252502553642</v>
      </c>
      <c r="H22" s="23">
        <f t="shared" si="1"/>
        <v>5351.792083758939</v>
      </c>
      <c r="I22" s="24">
        <f t="shared" si="2"/>
        <v>-118.96683350357489</v>
      </c>
      <c r="J22" s="286"/>
      <c r="M22" s="276"/>
    </row>
    <row r="23" spans="2:17" ht="25.5">
      <c r="B23" s="30" t="s">
        <v>87</v>
      </c>
      <c r="C23" s="32" t="s">
        <v>107</v>
      </c>
      <c r="D23" s="20" t="s">
        <v>106</v>
      </c>
      <c r="E23" s="27">
        <v>0.21</v>
      </c>
      <c r="F23" s="27">
        <v>0.16</v>
      </c>
      <c r="G23" s="22">
        <f t="shared" si="0"/>
        <v>3281.438774259449</v>
      </c>
      <c r="H23" s="23">
        <f t="shared" si="1"/>
        <v>3308.278192032687</v>
      </c>
      <c r="I23" s="24">
        <f t="shared" si="2"/>
        <v>-26.839417773237983</v>
      </c>
      <c r="J23" s="286"/>
      <c r="M23" s="276"/>
    </row>
    <row r="24" spans="2:17" ht="51">
      <c r="B24" s="26" t="s">
        <v>90</v>
      </c>
      <c r="C24" s="19" t="s">
        <v>170</v>
      </c>
      <c r="D24" s="20" t="s">
        <v>106</v>
      </c>
      <c r="E24" s="27">
        <v>1.33</v>
      </c>
      <c r="F24" s="27">
        <v>1.18</v>
      </c>
      <c r="G24" s="22">
        <f t="shared" si="0"/>
        <v>22260.951358529113</v>
      </c>
      <c r="H24" s="23">
        <f t="shared" si="1"/>
        <v>22554.10372829418</v>
      </c>
      <c r="I24" s="24">
        <f t="shared" si="2"/>
        <v>-293.1523697650664</v>
      </c>
      <c r="J24" s="286"/>
    </row>
    <row r="25" spans="2:17" ht="226.5" customHeight="1">
      <c r="B25" s="26" t="s">
        <v>173</v>
      </c>
      <c r="C25" s="19" t="s">
        <v>109</v>
      </c>
      <c r="D25" s="20" t="s">
        <v>106</v>
      </c>
      <c r="E25" s="27">
        <v>5.5</v>
      </c>
      <c r="F25" s="27">
        <v>5.61</v>
      </c>
      <c r="G25" s="22">
        <f t="shared" si="0"/>
        <v>98535.089101123624</v>
      </c>
      <c r="H25" s="23">
        <f t="shared" si="1"/>
        <v>100287.0775280899</v>
      </c>
      <c r="I25" s="24">
        <f t="shared" si="2"/>
        <v>-1751.9884269662725</v>
      </c>
      <c r="J25" s="283"/>
      <c r="K25" s="284"/>
      <c r="L25" s="284"/>
      <c r="M25" s="285"/>
      <c r="N25" s="284"/>
      <c r="O25" s="284"/>
      <c r="P25" s="284"/>
      <c r="Q25" s="284"/>
    </row>
    <row r="26" spans="2:17" ht="24">
      <c r="B26" s="30" t="s">
        <v>108</v>
      </c>
      <c r="C26" s="19" t="s">
        <v>107</v>
      </c>
      <c r="D26" s="20" t="s">
        <v>106</v>
      </c>
      <c r="E26" s="27">
        <v>2</v>
      </c>
      <c r="F26" s="27">
        <v>2</v>
      </c>
      <c r="G26" s="22">
        <v>35484</v>
      </c>
      <c r="H26" s="28">
        <v>31909.54</v>
      </c>
      <c r="I26" s="24">
        <f>H26-G26</f>
        <v>-3574.4599999999991</v>
      </c>
      <c r="J26" s="286"/>
    </row>
    <row r="27" spans="2:17" ht="122.25" customHeight="1">
      <c r="B27" s="26" t="s">
        <v>111</v>
      </c>
      <c r="C27" s="19" t="s">
        <v>105</v>
      </c>
      <c r="D27" s="20" t="s">
        <v>106</v>
      </c>
      <c r="E27" s="27">
        <v>0.21</v>
      </c>
      <c r="F27" s="27">
        <v>0.24</v>
      </c>
      <c r="G27" s="22">
        <f t="shared" si="0"/>
        <v>3991.121552604699</v>
      </c>
      <c r="H27" s="23">
        <f t="shared" ref="H27" si="3">($P$19/$P$20*E27)+($Q$19/$Q$20*F27)</f>
        <v>4077.0822778345255</v>
      </c>
      <c r="I27" s="24">
        <f t="shared" si="2"/>
        <v>-85.960725229826494</v>
      </c>
      <c r="J27" s="286"/>
    </row>
    <row r="28" spans="2:17" ht="50.25" customHeight="1">
      <c r="B28" s="30" t="s">
        <v>94</v>
      </c>
      <c r="C28" s="19" t="s">
        <v>105</v>
      </c>
      <c r="D28" s="20" t="s">
        <v>106</v>
      </c>
      <c r="E28" s="27">
        <v>4.96</v>
      </c>
      <c r="F28" s="27">
        <v>4.96</v>
      </c>
      <c r="G28" s="22">
        <v>87980.73</v>
      </c>
      <c r="H28" s="28">
        <v>39693</v>
      </c>
      <c r="I28" s="24">
        <f>G28-H28</f>
        <v>48287.729999999996</v>
      </c>
      <c r="J28" s="286"/>
      <c r="M28" s="276"/>
    </row>
    <row r="29" spans="2:17" ht="16.5" thickBot="1">
      <c r="B29" s="69" t="s">
        <v>88</v>
      </c>
      <c r="C29" s="34" t="s">
        <v>109</v>
      </c>
      <c r="D29" s="35" t="s">
        <v>106</v>
      </c>
      <c r="E29" s="36">
        <v>0.05</v>
      </c>
      <c r="F29" s="36">
        <v>0.03</v>
      </c>
      <c r="G29" s="37">
        <f t="shared" si="0"/>
        <v>709.48180796731367</v>
      </c>
      <c r="H29" s="73">
        <f t="shared" ref="H29" si="4">($P$19/$P$20*E29)+($Q$19/$Q$20*F29)</f>
        <v>709.88963227783461</v>
      </c>
      <c r="I29" s="24">
        <f>G29-H29</f>
        <v>-0.40782431052093671</v>
      </c>
      <c r="J29" s="286"/>
    </row>
    <row r="30" spans="2:17" ht="16.5" thickBot="1">
      <c r="B30" s="39" t="s">
        <v>92</v>
      </c>
      <c r="C30" s="40"/>
      <c r="D30" s="40"/>
      <c r="E30" s="41">
        <f>SUM(E20:E29)</f>
        <v>16.75</v>
      </c>
      <c r="F30" s="42">
        <f>SUM(F20:F29)</f>
        <v>16.75</v>
      </c>
      <c r="G30" s="43">
        <f>SUM(G20:G29)</f>
        <v>297120.24</v>
      </c>
      <c r="H30" s="44">
        <f>SUM(H20:H29)</f>
        <v>248231.89000000004</v>
      </c>
      <c r="I30" s="45">
        <f>SUM(I20:I29)</f>
        <v>41739.430000000022</v>
      </c>
      <c r="J30" s="286"/>
    </row>
    <row r="31" spans="2:17">
      <c r="B31" s="5"/>
      <c r="C31" s="5"/>
      <c r="D31" s="5"/>
      <c r="E31" s="12"/>
      <c r="F31" s="12"/>
      <c r="G31" s="12"/>
      <c r="H31" s="12"/>
      <c r="I31" s="4"/>
    </row>
    <row r="32" spans="2:17" ht="16.5" customHeight="1" thickBot="1">
      <c r="B32" s="177" t="s">
        <v>143</v>
      </c>
      <c r="C32" s="177"/>
      <c r="D32" s="177"/>
      <c r="E32" s="177"/>
      <c r="F32" s="177"/>
      <c r="G32" s="177"/>
      <c r="H32" s="177"/>
      <c r="I32" s="177"/>
      <c r="J32" s="287"/>
      <c r="K32" s="287"/>
    </row>
    <row r="33" spans="2:17" ht="46.5" customHeight="1">
      <c r="B33" s="46"/>
      <c r="C33" s="47"/>
      <c r="D33" s="182" t="s">
        <v>110</v>
      </c>
      <c r="E33" s="183"/>
      <c r="F33" s="171" t="s">
        <v>9</v>
      </c>
      <c r="G33" s="172"/>
      <c r="H33" s="171" t="s">
        <v>10</v>
      </c>
      <c r="I33" s="223"/>
      <c r="J33" s="288"/>
      <c r="K33" s="289"/>
      <c r="L33" s="290"/>
      <c r="M33" s="291"/>
      <c r="N33" s="292"/>
      <c r="O33" s="292"/>
      <c r="P33" s="292"/>
      <c r="Q33" s="292"/>
    </row>
    <row r="34" spans="2:17">
      <c r="B34" s="48" t="s">
        <v>11</v>
      </c>
      <c r="C34" s="49"/>
      <c r="D34" s="169">
        <f>F34+H34</f>
        <v>297120.24</v>
      </c>
      <c r="E34" s="184"/>
      <c r="F34" s="169">
        <f>173655.51+35484</f>
        <v>209139.51</v>
      </c>
      <c r="G34" s="184"/>
      <c r="H34" s="169">
        <f>G28</f>
        <v>87980.73</v>
      </c>
      <c r="I34" s="180"/>
      <c r="J34" s="293"/>
      <c r="K34" s="298"/>
      <c r="L34" s="295">
        <v>30851.22</v>
      </c>
      <c r="M34" s="295">
        <v>327971.46000000002</v>
      </c>
      <c r="N34" s="296">
        <f>M34-L34</f>
        <v>297120.24</v>
      </c>
      <c r="O34" s="297">
        <f>N34-D34</f>
        <v>0</v>
      </c>
    </row>
    <row r="35" spans="2:17">
      <c r="B35" s="48" t="s">
        <v>12</v>
      </c>
      <c r="C35" s="49"/>
      <c r="D35" s="169">
        <f>F35+H35</f>
        <v>266504.2</v>
      </c>
      <c r="E35" s="184"/>
      <c r="F35" s="169">
        <f>155707.21+31909.54</f>
        <v>187616.75</v>
      </c>
      <c r="G35" s="184"/>
      <c r="H35" s="169">
        <v>78887.45</v>
      </c>
      <c r="I35" s="180"/>
      <c r="J35" s="293"/>
      <c r="K35" s="298"/>
      <c r="L35" s="299">
        <v>462.4</v>
      </c>
      <c r="M35" s="295">
        <v>266966.59999999998</v>
      </c>
      <c r="N35" s="296">
        <f>M35-L35</f>
        <v>266504.19999999995</v>
      </c>
      <c r="O35" s="297">
        <f>N35-D35</f>
        <v>0</v>
      </c>
    </row>
    <row r="36" spans="2:17" ht="16.5" thickBot="1">
      <c r="B36" s="51" t="s">
        <v>91</v>
      </c>
      <c r="C36" s="52"/>
      <c r="D36" s="187">
        <f>F36+H36</f>
        <v>248231.89000000004</v>
      </c>
      <c r="E36" s="189"/>
      <c r="F36" s="187">
        <f>H20+H21+H22+H23+H24+H25+H26+H27+H29</f>
        <v>208538.89000000004</v>
      </c>
      <c r="G36" s="189"/>
      <c r="H36" s="187">
        <v>39693</v>
      </c>
      <c r="I36" s="220"/>
      <c r="J36" s="293"/>
      <c r="K36" s="298"/>
      <c r="L36" s="286"/>
      <c r="M36" s="286"/>
    </row>
    <row r="37" spans="2:17" ht="36.75" thickBot="1">
      <c r="B37" s="53" t="s">
        <v>156</v>
      </c>
      <c r="C37" s="54"/>
      <c r="D37" s="198">
        <f>F37+H37</f>
        <v>18272.309999999954</v>
      </c>
      <c r="E37" s="199"/>
      <c r="F37" s="191">
        <f>F35-F36</f>
        <v>-20922.140000000043</v>
      </c>
      <c r="G37" s="221"/>
      <c r="H37" s="191">
        <f>H35-H36</f>
        <v>39194.449999999997</v>
      </c>
      <c r="I37" s="222"/>
      <c r="J37" s="293"/>
      <c r="K37" s="298"/>
      <c r="L37" s="286"/>
      <c r="M37" s="286"/>
    </row>
    <row r="38" spans="2:17" ht="26.25" customHeight="1">
      <c r="B38" s="70" t="s">
        <v>79</v>
      </c>
      <c r="C38" s="70"/>
      <c r="D38" s="70"/>
      <c r="E38" s="197" t="s">
        <v>80</v>
      </c>
      <c r="F38" s="197"/>
      <c r="G38" s="195" t="s">
        <v>13</v>
      </c>
      <c r="H38" s="195"/>
      <c r="I38" s="55"/>
      <c r="J38" s="300"/>
      <c r="K38" s="284"/>
      <c r="L38" s="284"/>
      <c r="M38" s="284"/>
      <c r="N38" s="284"/>
      <c r="O38" s="284"/>
      <c r="P38" s="284"/>
      <c r="Q38" s="284"/>
    </row>
    <row r="39" spans="2:17" ht="9" customHeight="1">
      <c r="B39" s="70"/>
      <c r="C39" s="70"/>
      <c r="D39" s="70"/>
      <c r="E39" s="185" t="s">
        <v>14</v>
      </c>
      <c r="F39" s="185"/>
      <c r="G39" s="196"/>
      <c r="H39" s="196"/>
      <c r="I39" s="55"/>
      <c r="J39" s="300"/>
      <c r="K39" s="284"/>
      <c r="L39" s="284"/>
      <c r="M39" s="284"/>
      <c r="N39" s="284"/>
      <c r="O39" s="284"/>
      <c r="P39" s="284"/>
      <c r="Q39" s="284"/>
    </row>
    <row r="40" spans="2:17">
      <c r="B40" s="70" t="s">
        <v>81</v>
      </c>
      <c r="C40" s="70"/>
      <c r="D40" s="70"/>
      <c r="E40" s="186" t="s">
        <v>80</v>
      </c>
      <c r="F40" s="186"/>
      <c r="G40" s="195" t="s">
        <v>96</v>
      </c>
      <c r="H40" s="195"/>
      <c r="I40" s="55"/>
      <c r="J40" s="300"/>
      <c r="K40" s="284"/>
      <c r="L40" s="284"/>
      <c r="M40" s="284"/>
      <c r="N40" s="284"/>
      <c r="O40" s="284"/>
      <c r="P40" s="284"/>
      <c r="Q40" s="284"/>
    </row>
    <row r="41" spans="2:17" ht="10.5" customHeight="1">
      <c r="B41" s="70"/>
      <c r="C41" s="70"/>
      <c r="D41" s="70"/>
      <c r="E41" s="185" t="s">
        <v>14</v>
      </c>
      <c r="F41" s="185"/>
      <c r="G41" s="195"/>
      <c r="H41" s="195"/>
      <c r="I41" s="55"/>
      <c r="J41" s="300"/>
    </row>
    <row r="42" spans="2:17">
      <c r="B42" s="70" t="s">
        <v>82</v>
      </c>
      <c r="C42" s="70"/>
      <c r="D42" s="70"/>
      <c r="E42" s="186" t="s">
        <v>80</v>
      </c>
      <c r="F42" s="186"/>
      <c r="G42" s="195" t="s">
        <v>98</v>
      </c>
      <c r="H42" s="195"/>
      <c r="I42" s="55"/>
      <c r="J42" s="300"/>
    </row>
    <row r="43" spans="2:17" ht="9.75" customHeight="1">
      <c r="B43" s="58"/>
      <c r="C43" s="58"/>
      <c r="D43" s="58"/>
      <c r="E43" s="185" t="s">
        <v>14</v>
      </c>
      <c r="F43" s="185"/>
      <c r="G43" s="59"/>
      <c r="H43" s="57"/>
      <c r="I43" s="55"/>
      <c r="J43" s="300"/>
    </row>
    <row r="44" spans="2:17">
      <c r="B44" s="70" t="s">
        <v>83</v>
      </c>
      <c r="C44" s="70"/>
      <c r="D44" s="70"/>
      <c r="E44" s="186" t="s">
        <v>80</v>
      </c>
      <c r="F44" s="186"/>
      <c r="G44" s="195" t="s">
        <v>142</v>
      </c>
      <c r="H44" s="195"/>
      <c r="I44" s="55"/>
      <c r="J44" s="300"/>
    </row>
    <row r="45" spans="2:17" ht="9" customHeight="1">
      <c r="B45" s="8"/>
      <c r="C45" s="8"/>
      <c r="D45" s="8"/>
      <c r="E45" s="185" t="s">
        <v>14</v>
      </c>
      <c r="F45" s="185"/>
      <c r="G45" s="185"/>
      <c r="H45" s="185"/>
      <c r="I45" s="55"/>
      <c r="J45" s="300"/>
    </row>
    <row r="46" spans="2:17">
      <c r="B46" s="8"/>
      <c r="C46" s="77"/>
      <c r="D46" s="78"/>
      <c r="E46" s="79"/>
      <c r="F46" s="79"/>
      <c r="G46" s="8"/>
      <c r="H46" s="8"/>
      <c r="I46" s="55"/>
      <c r="J46" s="300"/>
    </row>
    <row r="47" spans="2:17">
      <c r="I47" s="55"/>
      <c r="J47" s="300"/>
    </row>
  </sheetData>
  <mergeCells count="46">
    <mergeCell ref="B1:I1"/>
    <mergeCell ref="E39:F39"/>
    <mergeCell ref="G39:H39"/>
    <mergeCell ref="E40:F40"/>
    <mergeCell ref="G40:H40"/>
    <mergeCell ref="D37:E37"/>
    <mergeCell ref="D9:F9"/>
    <mergeCell ref="D16:E16"/>
    <mergeCell ref="F33:G33"/>
    <mergeCell ref="B2:I2"/>
    <mergeCell ref="B3:I3"/>
    <mergeCell ref="B4:I4"/>
    <mergeCell ref="H33:I33"/>
    <mergeCell ref="B17:I17"/>
    <mergeCell ref="B18:B19"/>
    <mergeCell ref="C18:C19"/>
    <mergeCell ref="B6:I7"/>
    <mergeCell ref="F37:G37"/>
    <mergeCell ref="H37:I37"/>
    <mergeCell ref="F34:G34"/>
    <mergeCell ref="H34:I34"/>
    <mergeCell ref="D34:E34"/>
    <mergeCell ref="D35:E35"/>
    <mergeCell ref="F35:G35"/>
    <mergeCell ref="H35:I35"/>
    <mergeCell ref="F36:G36"/>
    <mergeCell ref="H36:I36"/>
    <mergeCell ref="D36:E36"/>
    <mergeCell ref="D33:E33"/>
    <mergeCell ref="E45:F45"/>
    <mergeCell ref="G45:H45"/>
    <mergeCell ref="E41:F41"/>
    <mergeCell ref="G41:H41"/>
    <mergeCell ref="E43:F43"/>
    <mergeCell ref="E44:F44"/>
    <mergeCell ref="G44:H44"/>
    <mergeCell ref="E42:F42"/>
    <mergeCell ref="G42:H42"/>
    <mergeCell ref="E38:F38"/>
    <mergeCell ref="G38:H38"/>
    <mergeCell ref="I18:I19"/>
    <mergeCell ref="B32:I32"/>
    <mergeCell ref="D18:D19"/>
    <mergeCell ref="E18:E19"/>
    <mergeCell ref="F18:F19"/>
    <mergeCell ref="G18:H18"/>
  </mergeCells>
  <printOptions horizontalCentered="1"/>
  <pageMargins left="0.19685039370078741" right="0.19685039370078741" top="0.15748031496062992" bottom="0.23622047244094491" header="0.16" footer="0.14000000000000001"/>
  <pageSetup paperSize="9" scale="4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Y49"/>
  <sheetViews>
    <sheetView zoomScale="110" zoomScaleNormal="110" workbookViewId="0">
      <selection activeCell="G22" sqref="G22"/>
    </sheetView>
  </sheetViews>
  <sheetFormatPr defaultColWidth="9.140625" defaultRowHeight="15.75" outlineLevelRow="1"/>
  <cols>
    <col min="1" max="1" width="2.85546875" style="2" customWidth="1"/>
    <col min="2" max="2" width="55.140625" style="2" customWidth="1"/>
    <col min="3" max="3" width="12" style="4" customWidth="1"/>
    <col min="4" max="4" width="9.140625" style="4" customWidth="1"/>
    <col min="5" max="5" width="10.42578125" style="4" customWidth="1"/>
    <col min="6" max="6" width="10" style="4" customWidth="1"/>
    <col min="7" max="7" width="10.28515625" style="2" customWidth="1"/>
    <col min="8" max="8" width="10.42578125" style="2" customWidth="1"/>
    <col min="9" max="9" width="11.28515625" style="2" customWidth="1"/>
    <col min="10" max="10" width="11.85546875" style="274" customWidth="1"/>
    <col min="11" max="13" width="9.140625" style="274"/>
    <col min="14" max="15" width="13" style="274" customWidth="1"/>
    <col min="16" max="16" width="13.140625" style="274" customWidth="1"/>
    <col min="17" max="17" width="15.85546875" style="274" customWidth="1"/>
    <col min="18" max="18" width="15.140625" style="274" customWidth="1"/>
    <col min="19" max="19" width="16.42578125" style="274" hidden="1" customWidth="1"/>
    <col min="20" max="20" width="12.42578125" style="274" customWidth="1"/>
    <col min="21" max="21" width="13.140625" style="274" customWidth="1"/>
    <col min="22" max="22" width="14.42578125" style="274" customWidth="1"/>
    <col min="23" max="23" width="9.140625" style="274"/>
    <col min="24" max="24" width="11.7109375" style="274" customWidth="1"/>
    <col min="25" max="25" width="11.7109375" style="2" customWidth="1"/>
    <col min="26" max="16384" width="9.140625" style="2"/>
  </cols>
  <sheetData>
    <row r="1" spans="1:25">
      <c r="B1" s="168" t="s">
        <v>138</v>
      </c>
      <c r="C1" s="168"/>
      <c r="D1" s="168"/>
      <c r="E1" s="168"/>
      <c r="F1" s="168"/>
      <c r="G1" s="168"/>
      <c r="H1" s="168"/>
      <c r="I1" s="168"/>
    </row>
    <row r="2" spans="1:25">
      <c r="B2" s="168" t="s">
        <v>139</v>
      </c>
      <c r="C2" s="168"/>
      <c r="D2" s="168"/>
      <c r="E2" s="168"/>
      <c r="F2" s="168"/>
      <c r="G2" s="168"/>
      <c r="H2" s="168"/>
      <c r="I2" s="168"/>
    </row>
    <row r="3" spans="1:25">
      <c r="B3" s="168" t="s">
        <v>140</v>
      </c>
      <c r="C3" s="168"/>
      <c r="D3" s="168"/>
      <c r="E3" s="168"/>
      <c r="F3" s="168"/>
      <c r="G3" s="168"/>
      <c r="H3" s="168"/>
      <c r="I3" s="168"/>
    </row>
    <row r="4" spans="1:25">
      <c r="B4" s="168" t="s">
        <v>148</v>
      </c>
      <c r="C4" s="168"/>
      <c r="D4" s="168"/>
      <c r="E4" s="168"/>
      <c r="F4" s="168"/>
      <c r="G4" s="168"/>
      <c r="H4" s="168"/>
      <c r="I4" s="168"/>
    </row>
    <row r="5" spans="1:25" ht="4.5" customHeight="1">
      <c r="B5" s="66"/>
      <c r="C5" s="66"/>
      <c r="D5" s="66"/>
      <c r="E5" s="66"/>
      <c r="F5" s="66"/>
      <c r="G5" s="66"/>
      <c r="H5" s="66"/>
      <c r="I5" s="66"/>
    </row>
    <row r="6" spans="1:25" ht="19.5" customHeight="1">
      <c r="A6" s="81"/>
      <c r="B6" s="200" t="s">
        <v>141</v>
      </c>
      <c r="C6" s="200"/>
      <c r="D6" s="200"/>
      <c r="E6" s="200"/>
      <c r="F6" s="200"/>
      <c r="G6" s="200"/>
      <c r="H6" s="200"/>
      <c r="I6" s="200"/>
      <c r="R6" s="305"/>
      <c r="S6" s="305"/>
      <c r="T6" s="305"/>
      <c r="U6" s="305"/>
      <c r="V6" s="305"/>
      <c r="W6" s="306"/>
      <c r="X6" s="306"/>
      <c r="Y6" s="81"/>
    </row>
    <row r="7" spans="1:25" ht="20.25" customHeight="1">
      <c r="A7" s="81"/>
      <c r="B7" s="200"/>
      <c r="C7" s="200"/>
      <c r="D7" s="200"/>
      <c r="E7" s="200"/>
      <c r="F7" s="200"/>
      <c r="G7" s="200"/>
      <c r="H7" s="200"/>
      <c r="I7" s="200"/>
      <c r="R7" s="305"/>
      <c r="S7" s="305"/>
      <c r="T7" s="305"/>
      <c r="U7" s="305"/>
      <c r="V7" s="305"/>
      <c r="W7" s="306"/>
      <c r="X7" s="306"/>
      <c r="Y7" s="81"/>
    </row>
    <row r="8" spans="1:25" ht="8.25" customHeight="1">
      <c r="B8" s="75"/>
      <c r="C8" s="75"/>
      <c r="D8" s="75"/>
      <c r="E8" s="75"/>
      <c r="F8" s="75"/>
      <c r="G8" s="75"/>
      <c r="H8" s="75"/>
      <c r="I8" s="75"/>
      <c r="R8" s="305"/>
      <c r="S8" s="305"/>
      <c r="T8" s="305"/>
      <c r="U8" s="305"/>
      <c r="V8" s="305"/>
      <c r="W8" s="286"/>
      <c r="X8" s="286"/>
    </row>
    <row r="9" spans="1:25">
      <c r="B9" s="6" t="s">
        <v>0</v>
      </c>
      <c r="C9" s="60"/>
      <c r="D9" s="207" t="s">
        <v>35</v>
      </c>
      <c r="E9" s="207"/>
      <c r="F9" s="207"/>
      <c r="R9" s="286"/>
      <c r="S9" s="291"/>
      <c r="T9" s="307"/>
      <c r="U9" s="307"/>
      <c r="V9" s="307"/>
      <c r="W9" s="286"/>
      <c r="X9" s="286"/>
    </row>
    <row r="10" spans="1:25">
      <c r="B10" s="6" t="s">
        <v>1</v>
      </c>
      <c r="C10" s="60"/>
      <c r="D10" s="63">
        <v>1964</v>
      </c>
      <c r="E10" s="63"/>
      <c r="F10" s="63"/>
      <c r="R10" s="286"/>
      <c r="S10" s="291"/>
      <c r="T10" s="308"/>
      <c r="U10" s="308"/>
      <c r="V10" s="308"/>
      <c r="W10" s="286"/>
      <c r="X10" s="286"/>
    </row>
    <row r="11" spans="1:25" hidden="1" outlineLevel="1">
      <c r="B11" s="6" t="s">
        <v>2</v>
      </c>
      <c r="C11" s="60"/>
      <c r="D11" s="63">
        <v>4</v>
      </c>
      <c r="E11" s="63"/>
      <c r="F11" s="63"/>
      <c r="R11" s="286"/>
      <c r="S11" s="291"/>
      <c r="T11" s="308"/>
      <c r="U11" s="308"/>
      <c r="V11" s="308"/>
      <c r="W11" s="286"/>
      <c r="X11" s="286"/>
    </row>
    <row r="12" spans="1:25" hidden="1" outlineLevel="1">
      <c r="B12" s="6" t="s">
        <v>3</v>
      </c>
      <c r="C12" s="60"/>
      <c r="D12" s="63">
        <v>64</v>
      </c>
      <c r="E12" s="63"/>
      <c r="F12" s="63"/>
      <c r="R12" s="286"/>
      <c r="S12" s="291"/>
      <c r="T12" s="308"/>
      <c r="U12" s="308"/>
      <c r="V12" s="308"/>
      <c r="W12" s="286"/>
      <c r="X12" s="286"/>
    </row>
    <row r="13" spans="1:25" ht="30.75" hidden="1" customHeight="1" outlineLevel="1">
      <c r="B13" s="64" t="s">
        <v>4</v>
      </c>
      <c r="C13" s="84"/>
      <c r="D13" s="63" t="s">
        <v>36</v>
      </c>
      <c r="E13" s="63"/>
      <c r="F13" s="63"/>
      <c r="R13" s="309"/>
      <c r="S13" s="310"/>
      <c r="T13" s="308"/>
      <c r="U13" s="308"/>
      <c r="V13" s="308"/>
      <c r="W13" s="286"/>
      <c r="X13" s="286"/>
    </row>
    <row r="14" spans="1:25" collapsed="1">
      <c r="B14" s="6" t="s">
        <v>5</v>
      </c>
      <c r="C14" s="60"/>
      <c r="D14" s="63" t="s">
        <v>117</v>
      </c>
      <c r="E14" s="63"/>
      <c r="F14" s="63"/>
      <c r="J14" s="276"/>
      <c r="N14" s="274">
        <f>N19+O19</f>
        <v>256565.13633423182</v>
      </c>
      <c r="P14" s="274">
        <f>P19+Q19</f>
        <v>277519.89</v>
      </c>
      <c r="R14" s="286"/>
      <c r="S14" s="291"/>
      <c r="T14" s="308"/>
      <c r="U14" s="308"/>
      <c r="V14" s="308"/>
      <c r="W14" s="286"/>
      <c r="X14" s="286"/>
    </row>
    <row r="15" spans="1:25">
      <c r="B15" s="6" t="s">
        <v>6</v>
      </c>
      <c r="C15" s="60"/>
      <c r="D15" s="63" t="s">
        <v>37</v>
      </c>
      <c r="E15" s="63"/>
      <c r="F15" s="63"/>
      <c r="R15" s="286"/>
      <c r="S15" s="291"/>
      <c r="T15" s="308"/>
      <c r="U15" s="308"/>
      <c r="V15" s="308"/>
      <c r="W15" s="286"/>
      <c r="X15" s="286"/>
    </row>
    <row r="16" spans="1:25" ht="30.75" hidden="1" customHeight="1" outlineLevel="1">
      <c r="B16" s="14" t="s">
        <v>8</v>
      </c>
      <c r="C16" s="83"/>
      <c r="D16" s="208" t="s">
        <v>34</v>
      </c>
      <c r="E16" s="208"/>
      <c r="F16" s="13"/>
      <c r="J16" s="276"/>
      <c r="R16" s="309"/>
      <c r="S16" s="310"/>
      <c r="T16" s="311"/>
      <c r="U16" s="311"/>
      <c r="V16" s="308"/>
      <c r="W16" s="286"/>
      <c r="X16" s="286"/>
    </row>
    <row r="17" spans="2:17" ht="21" customHeight="1" collapsed="1" thickBot="1">
      <c r="B17" s="215" t="s">
        <v>144</v>
      </c>
      <c r="C17" s="215"/>
      <c r="D17" s="215"/>
      <c r="E17" s="215"/>
      <c r="F17" s="215"/>
      <c r="G17" s="215"/>
      <c r="H17" s="215"/>
      <c r="I17" s="215"/>
      <c r="M17" s="276"/>
      <c r="N17" s="277" t="s">
        <v>99</v>
      </c>
      <c r="O17" s="277" t="s">
        <v>100</v>
      </c>
      <c r="P17" s="277" t="s">
        <v>101</v>
      </c>
      <c r="Q17" s="277" t="s">
        <v>102</v>
      </c>
    </row>
    <row r="18" spans="2:17" ht="30.75" customHeight="1">
      <c r="B18" s="224" t="s">
        <v>97</v>
      </c>
      <c r="C18" s="218" t="s">
        <v>103</v>
      </c>
      <c r="D18" s="218" t="s">
        <v>134</v>
      </c>
      <c r="E18" s="175" t="s">
        <v>147</v>
      </c>
      <c r="F18" s="210" t="s">
        <v>146</v>
      </c>
      <c r="G18" s="213" t="s">
        <v>104</v>
      </c>
      <c r="H18" s="214"/>
      <c r="I18" s="201" t="s">
        <v>151</v>
      </c>
      <c r="M18" s="276"/>
      <c r="N18" s="277"/>
      <c r="O18" s="277"/>
      <c r="P18" s="277"/>
      <c r="Q18" s="277"/>
    </row>
    <row r="19" spans="2:17" ht="41.25" customHeight="1" thickBot="1">
      <c r="B19" s="225"/>
      <c r="C19" s="219"/>
      <c r="D19" s="219"/>
      <c r="E19" s="176"/>
      <c r="F19" s="211"/>
      <c r="G19" s="16" t="s">
        <v>84</v>
      </c>
      <c r="H19" s="17" t="s">
        <v>85</v>
      </c>
      <c r="I19" s="202"/>
      <c r="N19" s="278">
        <f>119130.22+(O21*6)</f>
        <v>128969.37780053908</v>
      </c>
      <c r="O19" s="278">
        <f>121036.32+(O21*4)</f>
        <v>127595.75853369273</v>
      </c>
      <c r="P19" s="278">
        <f>129697.7</f>
        <v>129697.7</v>
      </c>
      <c r="Q19" s="278">
        <f>147822.19</f>
        <v>147822.19</v>
      </c>
    </row>
    <row r="20" spans="2:17" ht="48.75" customHeight="1">
      <c r="B20" s="18" t="s">
        <v>89</v>
      </c>
      <c r="C20" s="19" t="s">
        <v>105</v>
      </c>
      <c r="D20" s="20" t="s">
        <v>106</v>
      </c>
      <c r="E20" s="21">
        <v>1.05</v>
      </c>
      <c r="F20" s="21">
        <v>1.06</v>
      </c>
      <c r="G20" s="22">
        <f>($N$19/$N$20*E20)+($O$19/$O$20*F20)</f>
        <v>31768.703138061072</v>
      </c>
      <c r="H20" s="23">
        <f>($P$19/$P$20*E20)+($Q$19/$Q$20*F20)</f>
        <v>34374.895117370892</v>
      </c>
      <c r="I20" s="24">
        <f>G20-H20</f>
        <v>-2606.1919793098205</v>
      </c>
      <c r="J20" s="279"/>
      <c r="K20" s="280"/>
      <c r="L20" s="280"/>
      <c r="M20" s="281"/>
      <c r="N20" s="282">
        <f>E30-E28-E26</f>
        <v>8.5200000000000014</v>
      </c>
      <c r="O20" s="282">
        <f>F30-F28-F26</f>
        <v>8.52</v>
      </c>
      <c r="P20" s="282">
        <f>E30-E28-E26</f>
        <v>8.5200000000000014</v>
      </c>
      <c r="Q20" s="282">
        <f>F30-F28-F26</f>
        <v>8.52</v>
      </c>
    </row>
    <row r="21" spans="2:17" ht="51">
      <c r="B21" s="26" t="s">
        <v>93</v>
      </c>
      <c r="C21" s="19" t="s">
        <v>105</v>
      </c>
      <c r="D21" s="20" t="s">
        <v>106</v>
      </c>
      <c r="E21" s="27">
        <v>1.17</v>
      </c>
      <c r="F21" s="27">
        <v>1.19</v>
      </c>
      <c r="G21" s="22">
        <f t="shared" ref="G21:G29" si="0">($N$19/$N$20*E21)+($O$19/$O$20*F21)</f>
        <v>35532.056887526414</v>
      </c>
      <c r="H21" s="23">
        <f t="shared" ref="H21:H25" si="1">($P$19/$P$20*E21)+($Q$19/$Q$20*F21)</f>
        <v>38457.126185446003</v>
      </c>
      <c r="I21" s="24">
        <f t="shared" ref="I21:I27" si="2">G21-H21</f>
        <v>-2925.0692979195883</v>
      </c>
      <c r="J21" s="283"/>
      <c r="K21" s="284"/>
      <c r="L21" s="284"/>
      <c r="M21" s="296" t="s">
        <v>166</v>
      </c>
      <c r="N21" s="297">
        <f>N22-N23</f>
        <v>16398.596334231806</v>
      </c>
      <c r="O21" s="297">
        <f>N21/10</f>
        <v>1639.8596334231806</v>
      </c>
      <c r="P21" s="297">
        <f>P22-P23</f>
        <v>18328.579191374665</v>
      </c>
      <c r="Q21" s="297">
        <f>P21/10</f>
        <v>1832.8579191374665</v>
      </c>
    </row>
    <row r="22" spans="2:17" ht="49.5" customHeight="1">
      <c r="B22" s="30" t="s">
        <v>86</v>
      </c>
      <c r="C22" s="19" t="s">
        <v>105</v>
      </c>
      <c r="D22" s="20" t="s">
        <v>106</v>
      </c>
      <c r="E22" s="27">
        <v>0.27</v>
      </c>
      <c r="F22" s="27">
        <v>0.32</v>
      </c>
      <c r="G22" s="22">
        <f t="shared" si="0"/>
        <v>8879.3867062121153</v>
      </c>
      <c r="H22" s="23">
        <f t="shared" si="1"/>
        <v>9662.145516431925</v>
      </c>
      <c r="I22" s="24">
        <f t="shared" si="2"/>
        <v>-782.75881021980967</v>
      </c>
      <c r="J22" s="286"/>
      <c r="M22" s="296" t="s">
        <v>164</v>
      </c>
      <c r="N22" s="296">
        <f>11769.01+3773.33+5879.77</f>
        <v>21422.11</v>
      </c>
      <c r="O22" s="296"/>
      <c r="P22" s="296">
        <f>11769.01+7225.48+4948.83</f>
        <v>23943.32</v>
      </c>
      <c r="Q22" s="296"/>
    </row>
    <row r="23" spans="2:17" ht="25.5">
      <c r="B23" s="30" t="s">
        <v>87</v>
      </c>
      <c r="C23" s="32" t="s">
        <v>107</v>
      </c>
      <c r="D23" s="20" t="s">
        <v>106</v>
      </c>
      <c r="E23" s="27">
        <v>0.23</v>
      </c>
      <c r="F23" s="27">
        <v>0.23</v>
      </c>
      <c r="G23" s="22">
        <f t="shared" si="0"/>
        <v>6926.0541498677594</v>
      </c>
      <c r="H23" s="23">
        <f t="shared" si="1"/>
        <v>7491.7341197183105</v>
      </c>
      <c r="I23" s="24">
        <f t="shared" si="2"/>
        <v>-565.67996985055106</v>
      </c>
      <c r="J23" s="286"/>
      <c r="M23" s="297" t="s">
        <v>167</v>
      </c>
      <c r="N23" s="297">
        <f>N22/11.13*2.61</f>
        <v>5023.5136657681933</v>
      </c>
      <c r="O23" s="296"/>
      <c r="P23" s="297">
        <f>P22/11.13*2.61</f>
        <v>5614.7408086253363</v>
      </c>
      <c r="Q23" s="296"/>
    </row>
    <row r="24" spans="2:17" ht="51">
      <c r="B24" s="26" t="s">
        <v>90</v>
      </c>
      <c r="C24" s="19" t="s">
        <v>170</v>
      </c>
      <c r="D24" s="20" t="s">
        <v>106</v>
      </c>
      <c r="E24" s="27">
        <v>1.33</v>
      </c>
      <c r="F24" s="27">
        <v>1.18</v>
      </c>
      <c r="G24" s="22">
        <f t="shared" si="0"/>
        <v>37804.256754046291</v>
      </c>
      <c r="H24" s="23">
        <f t="shared" si="1"/>
        <v>40719.263521126762</v>
      </c>
      <c r="I24" s="24">
        <f t="shared" si="2"/>
        <v>-2915.006767080471</v>
      </c>
      <c r="J24" s="286"/>
    </row>
    <row r="25" spans="2:17" ht="214.5" customHeight="1">
      <c r="B25" s="26" t="s">
        <v>145</v>
      </c>
      <c r="C25" s="19" t="s">
        <v>109</v>
      </c>
      <c r="D25" s="20" t="s">
        <v>106</v>
      </c>
      <c r="E25" s="27">
        <v>4.18</v>
      </c>
      <c r="F25" s="27">
        <v>4.18</v>
      </c>
      <c r="G25" s="22">
        <f t="shared" si="0"/>
        <v>125873.50585411841</v>
      </c>
      <c r="H25" s="23">
        <f t="shared" si="1"/>
        <v>136154.12443661972</v>
      </c>
      <c r="I25" s="24">
        <f t="shared" si="2"/>
        <v>-10280.618582501309</v>
      </c>
      <c r="J25" s="283"/>
      <c r="K25" s="284"/>
      <c r="L25" s="284"/>
      <c r="M25" s="285"/>
      <c r="N25" s="284"/>
      <c r="O25" s="284"/>
      <c r="P25" s="284"/>
      <c r="Q25" s="284"/>
    </row>
    <row r="26" spans="2:17" ht="27" customHeight="1">
      <c r="B26" s="30" t="s">
        <v>108</v>
      </c>
      <c r="C26" s="19" t="s">
        <v>107</v>
      </c>
      <c r="D26" s="20" t="s">
        <v>106</v>
      </c>
      <c r="E26" s="27">
        <v>2</v>
      </c>
      <c r="F26" s="27">
        <v>2</v>
      </c>
      <c r="G26" s="22">
        <v>55930.8</v>
      </c>
      <c r="H26" s="28">
        <v>49570.99</v>
      </c>
      <c r="I26" s="24">
        <f>H26-G26</f>
        <v>-6359.8100000000049</v>
      </c>
      <c r="J26" s="286"/>
    </row>
    <row r="27" spans="2:17" ht="111.75" customHeight="1">
      <c r="B27" s="26" t="s">
        <v>111</v>
      </c>
      <c r="C27" s="19" t="s">
        <v>105</v>
      </c>
      <c r="D27" s="20" t="s">
        <v>106</v>
      </c>
      <c r="E27" s="27">
        <v>0.21</v>
      </c>
      <c r="F27" s="27">
        <v>0.24</v>
      </c>
      <c r="G27" s="22">
        <f t="shared" si="0"/>
        <v>6773.0694115257575</v>
      </c>
      <c r="H27" s="23">
        <f t="shared" ref="H27" si="3">($P$19/$P$20*E27)+($Q$19/$Q$20*F27)</f>
        <v>7360.7796478873242</v>
      </c>
      <c r="I27" s="24">
        <f t="shared" si="2"/>
        <v>-587.71023636156679</v>
      </c>
      <c r="J27" s="286"/>
    </row>
    <row r="28" spans="2:17" ht="52.5" customHeight="1">
      <c r="B28" s="30" t="s">
        <v>94</v>
      </c>
      <c r="C28" s="19" t="s">
        <v>105</v>
      </c>
      <c r="D28" s="20" t="s">
        <v>106</v>
      </c>
      <c r="E28" s="27">
        <v>2.61</v>
      </c>
      <c r="F28" s="27">
        <v>2.61</v>
      </c>
      <c r="G28" s="22">
        <f>73572.15+N23</f>
        <v>78595.663665768181</v>
      </c>
      <c r="H28" s="28">
        <v>197341</v>
      </c>
      <c r="I28" s="24">
        <f>G28-H28</f>
        <v>-118745.33633423182</v>
      </c>
      <c r="J28" s="286"/>
      <c r="M28" s="276"/>
    </row>
    <row r="29" spans="2:17" ht="16.5" thickBot="1">
      <c r="B29" s="69" t="s">
        <v>88</v>
      </c>
      <c r="C29" s="34" t="s">
        <v>109</v>
      </c>
      <c r="D29" s="35" t="s">
        <v>106</v>
      </c>
      <c r="E29" s="36">
        <v>0.08</v>
      </c>
      <c r="F29" s="36">
        <v>0.12</v>
      </c>
      <c r="G29" s="37">
        <f t="shared" si="0"/>
        <v>3008.1034328739734</v>
      </c>
      <c r="H29" s="73">
        <f t="shared" ref="H29" si="4">($P$19/$P$20*E29)+($Q$19/$Q$20*F29)</f>
        <v>3299.8214553990611</v>
      </c>
      <c r="I29" s="24">
        <f>G29-H29</f>
        <v>-291.71802252508769</v>
      </c>
      <c r="J29" s="286"/>
    </row>
    <row r="30" spans="2:17" ht="16.5" thickBot="1">
      <c r="B30" s="39" t="s">
        <v>92</v>
      </c>
      <c r="C30" s="40"/>
      <c r="D30" s="40"/>
      <c r="E30" s="41">
        <f>SUM(E20:E29)</f>
        <v>13.13</v>
      </c>
      <c r="F30" s="42">
        <f>SUM(F20:F29)</f>
        <v>13.129999999999999</v>
      </c>
      <c r="G30" s="43">
        <f>SUM(G20:G29)</f>
        <v>391091.59999999992</v>
      </c>
      <c r="H30" s="44">
        <f>SUM(H20:H29)</f>
        <v>524431.88</v>
      </c>
      <c r="I30" s="45">
        <f>SUM(I20:I29)</f>
        <v>-146059.90000000002</v>
      </c>
      <c r="J30" s="286"/>
    </row>
    <row r="31" spans="2:17">
      <c r="B31" s="5"/>
      <c r="C31" s="5"/>
      <c r="D31" s="5"/>
      <c r="E31" s="12"/>
      <c r="F31" s="12"/>
      <c r="G31" s="12"/>
      <c r="H31" s="12"/>
      <c r="I31" s="4"/>
    </row>
    <row r="32" spans="2:17" ht="16.5" customHeight="1" thickBot="1">
      <c r="B32" s="177" t="s">
        <v>143</v>
      </c>
      <c r="C32" s="177"/>
      <c r="D32" s="177"/>
      <c r="E32" s="177"/>
      <c r="F32" s="177"/>
      <c r="G32" s="177"/>
      <c r="H32" s="177"/>
      <c r="I32" s="177"/>
      <c r="J32" s="287"/>
      <c r="K32" s="287"/>
    </row>
    <row r="33" spans="2:17" ht="39.75" customHeight="1">
      <c r="B33" s="46"/>
      <c r="C33" s="47"/>
      <c r="D33" s="182" t="s">
        <v>110</v>
      </c>
      <c r="E33" s="183"/>
      <c r="F33" s="171" t="s">
        <v>9</v>
      </c>
      <c r="G33" s="172"/>
      <c r="H33" s="171" t="s">
        <v>10</v>
      </c>
      <c r="I33" s="223"/>
      <c r="J33" s="288"/>
      <c r="K33" s="289"/>
      <c r="L33" s="290"/>
      <c r="M33" s="291"/>
      <c r="N33" s="292"/>
      <c r="O33" s="292"/>
      <c r="P33" s="292"/>
      <c r="Q33" s="292"/>
    </row>
    <row r="34" spans="2:17">
      <c r="B34" s="48" t="s">
        <v>11</v>
      </c>
      <c r="C34" s="49"/>
      <c r="D34" s="169">
        <f>F34+H34</f>
        <v>391091.6</v>
      </c>
      <c r="E34" s="184"/>
      <c r="F34" s="169">
        <f>240166.54+55930.8+N21</f>
        <v>312495.93633423181</v>
      </c>
      <c r="G34" s="184"/>
      <c r="H34" s="169">
        <f>G28</f>
        <v>78595.663665768181</v>
      </c>
      <c r="I34" s="180"/>
      <c r="J34" s="293"/>
      <c r="K34" s="298"/>
      <c r="L34" s="295">
        <v>56042.59</v>
      </c>
      <c r="M34" s="295">
        <v>425712.08</v>
      </c>
      <c r="N34" s="296">
        <f>M34-L34+N22</f>
        <v>391091.6</v>
      </c>
      <c r="O34" s="297">
        <f>N34-D34</f>
        <v>0</v>
      </c>
    </row>
    <row r="35" spans="2:17">
      <c r="B35" s="48" t="s">
        <v>12</v>
      </c>
      <c r="C35" s="49"/>
      <c r="D35" s="169">
        <f>F35+H35</f>
        <v>355174.32</v>
      </c>
      <c r="E35" s="184"/>
      <c r="F35" s="169">
        <f>215610.33+49570.99+P21</f>
        <v>283509.89919137466</v>
      </c>
      <c r="G35" s="184"/>
      <c r="H35" s="169">
        <f>66049.68+P23</f>
        <v>71664.420808625335</v>
      </c>
      <c r="I35" s="180"/>
      <c r="J35" s="293"/>
      <c r="K35" s="298"/>
      <c r="L35" s="299">
        <v>1709.2</v>
      </c>
      <c r="M35" s="295">
        <v>332940.2</v>
      </c>
      <c r="N35" s="297">
        <f>M35-L35+P22</f>
        <v>355174.32</v>
      </c>
      <c r="O35" s="297">
        <f>N35-D35</f>
        <v>0</v>
      </c>
    </row>
    <row r="36" spans="2:17" ht="16.5" thickBot="1">
      <c r="B36" s="51" t="s">
        <v>91</v>
      </c>
      <c r="C36" s="52"/>
      <c r="D36" s="187">
        <f>F36+H36</f>
        <v>524431.88</v>
      </c>
      <c r="E36" s="189"/>
      <c r="F36" s="187">
        <f>H20+H21+H22+H23+H24+H25+H26+H27+H29</f>
        <v>327090.88</v>
      </c>
      <c r="G36" s="189"/>
      <c r="H36" s="187">
        <f>H28</f>
        <v>197341</v>
      </c>
      <c r="I36" s="220"/>
      <c r="J36" s="293"/>
      <c r="K36" s="298"/>
      <c r="L36" s="286"/>
      <c r="M36" s="286"/>
    </row>
    <row r="37" spans="2:17" ht="36.75" thickBot="1">
      <c r="B37" s="53" t="s">
        <v>156</v>
      </c>
      <c r="C37" s="54"/>
      <c r="D37" s="198">
        <f>F37+H37</f>
        <v>-169257.56</v>
      </c>
      <c r="E37" s="199"/>
      <c r="F37" s="191">
        <f>F35-F36</f>
        <v>-43580.980808625347</v>
      </c>
      <c r="G37" s="221"/>
      <c r="H37" s="191">
        <f>H35-H36</f>
        <v>-125676.57919137467</v>
      </c>
      <c r="I37" s="222"/>
      <c r="J37" s="293"/>
      <c r="K37" s="298"/>
      <c r="L37" s="286"/>
      <c r="M37" s="286"/>
    </row>
    <row r="38" spans="2:17" ht="28.5" customHeight="1">
      <c r="B38" s="70" t="s">
        <v>79</v>
      </c>
      <c r="C38" s="70"/>
      <c r="D38" s="70"/>
      <c r="E38" s="212" t="s">
        <v>80</v>
      </c>
      <c r="F38" s="212"/>
      <c r="G38" s="195" t="s">
        <v>13</v>
      </c>
      <c r="H38" s="195"/>
      <c r="I38" s="55"/>
      <c r="J38" s="300"/>
      <c r="K38" s="284"/>
      <c r="L38" s="284"/>
      <c r="M38" s="284"/>
      <c r="N38" s="284"/>
      <c r="O38" s="284"/>
      <c r="P38" s="284"/>
      <c r="Q38" s="284"/>
    </row>
    <row r="39" spans="2:17" ht="8.25" customHeight="1">
      <c r="B39" s="70"/>
      <c r="C39" s="70"/>
      <c r="D39" s="70"/>
      <c r="E39" s="185" t="s">
        <v>14</v>
      </c>
      <c r="F39" s="185"/>
      <c r="G39" s="196"/>
      <c r="H39" s="196"/>
      <c r="I39" s="55"/>
      <c r="J39" s="300"/>
      <c r="K39" s="284"/>
      <c r="L39" s="284"/>
      <c r="M39" s="284"/>
      <c r="N39" s="284"/>
      <c r="O39" s="284"/>
      <c r="P39" s="284"/>
      <c r="Q39" s="284"/>
    </row>
    <row r="40" spans="2:17">
      <c r="B40" s="70" t="s">
        <v>81</v>
      </c>
      <c r="C40" s="70"/>
      <c r="D40" s="70"/>
      <c r="E40" s="186" t="s">
        <v>80</v>
      </c>
      <c r="F40" s="186"/>
      <c r="G40" s="195" t="s">
        <v>96</v>
      </c>
      <c r="H40" s="195"/>
      <c r="I40" s="55"/>
      <c r="J40" s="300"/>
      <c r="K40" s="284"/>
      <c r="L40" s="284"/>
      <c r="M40" s="284"/>
      <c r="N40" s="284"/>
      <c r="O40" s="284"/>
      <c r="P40" s="284"/>
      <c r="Q40" s="284"/>
    </row>
    <row r="41" spans="2:17" ht="8.25" customHeight="1">
      <c r="B41" s="70"/>
      <c r="C41" s="70"/>
      <c r="D41" s="70"/>
      <c r="E41" s="185" t="s">
        <v>14</v>
      </c>
      <c r="F41" s="185"/>
      <c r="G41" s="195"/>
      <c r="H41" s="195"/>
      <c r="I41" s="55"/>
      <c r="J41" s="300"/>
    </row>
    <row r="42" spans="2:17">
      <c r="B42" s="70" t="s">
        <v>82</v>
      </c>
      <c r="C42" s="70"/>
      <c r="D42" s="70"/>
      <c r="E42" s="186" t="s">
        <v>80</v>
      </c>
      <c r="F42" s="186"/>
      <c r="G42" s="195" t="s">
        <v>98</v>
      </c>
      <c r="H42" s="195"/>
      <c r="I42" s="55"/>
      <c r="J42" s="300"/>
    </row>
    <row r="43" spans="2:17" ht="9" customHeight="1">
      <c r="B43" s="58"/>
      <c r="C43" s="58"/>
      <c r="D43" s="58"/>
      <c r="E43" s="185" t="s">
        <v>14</v>
      </c>
      <c r="F43" s="185"/>
      <c r="G43" s="59"/>
      <c r="H43" s="57"/>
      <c r="I43" s="60"/>
      <c r="J43" s="296"/>
    </row>
    <row r="44" spans="2:17">
      <c r="B44" s="70" t="s">
        <v>83</v>
      </c>
      <c r="C44" s="70"/>
      <c r="D44" s="70"/>
      <c r="E44" s="186" t="s">
        <v>80</v>
      </c>
      <c r="F44" s="186"/>
      <c r="G44" s="195" t="s">
        <v>142</v>
      </c>
      <c r="H44" s="195"/>
      <c r="I44" s="55"/>
      <c r="J44" s="300"/>
    </row>
    <row r="45" spans="2:17" ht="8.25" customHeight="1">
      <c r="B45" s="8"/>
      <c r="C45" s="8"/>
      <c r="D45" s="8"/>
      <c r="E45" s="185" t="s">
        <v>14</v>
      </c>
      <c r="F45" s="185"/>
      <c r="G45" s="185"/>
      <c r="H45" s="185"/>
      <c r="I45" s="4"/>
      <c r="J45" s="292"/>
    </row>
    <row r="46" spans="2:17">
      <c r="B46" s="8"/>
      <c r="C46" s="77"/>
      <c r="D46" s="78"/>
      <c r="E46" s="79"/>
      <c r="F46" s="79"/>
      <c r="G46" s="8"/>
      <c r="H46" s="8"/>
    </row>
    <row r="47" spans="2:17">
      <c r="B47" s="2" t="s">
        <v>137</v>
      </c>
    </row>
    <row r="49" spans="2:2">
      <c r="B49" s="8" t="s">
        <v>118</v>
      </c>
    </row>
  </sheetData>
  <mergeCells count="49">
    <mergeCell ref="F34:G34"/>
    <mergeCell ref="D34:E34"/>
    <mergeCell ref="F33:G33"/>
    <mergeCell ref="D33:E33"/>
    <mergeCell ref="B2:I2"/>
    <mergeCell ref="B3:I3"/>
    <mergeCell ref="B4:I4"/>
    <mergeCell ref="H33:I33"/>
    <mergeCell ref="G39:H39"/>
    <mergeCell ref="D35:E35"/>
    <mergeCell ref="D36:E36"/>
    <mergeCell ref="D37:E37"/>
    <mergeCell ref="E43:F43"/>
    <mergeCell ref="E40:F40"/>
    <mergeCell ref="G40:H40"/>
    <mergeCell ref="H35:I35"/>
    <mergeCell ref="H36:I36"/>
    <mergeCell ref="F36:G36"/>
    <mergeCell ref="H37:I37"/>
    <mergeCell ref="E38:F38"/>
    <mergeCell ref="B1:I1"/>
    <mergeCell ref="E45:F45"/>
    <mergeCell ref="G45:H45"/>
    <mergeCell ref="G41:H41"/>
    <mergeCell ref="E42:F42"/>
    <mergeCell ref="G42:H42"/>
    <mergeCell ref="E41:F41"/>
    <mergeCell ref="G38:H38"/>
    <mergeCell ref="F37:G37"/>
    <mergeCell ref="B6:I7"/>
    <mergeCell ref="E39:F39"/>
    <mergeCell ref="H34:I34"/>
    <mergeCell ref="F35:G35"/>
    <mergeCell ref="E44:F44"/>
    <mergeCell ref="G44:H44"/>
    <mergeCell ref="D18:D19"/>
    <mergeCell ref="R6:V8"/>
    <mergeCell ref="T9:V9"/>
    <mergeCell ref="T16:U16"/>
    <mergeCell ref="G18:H18"/>
    <mergeCell ref="B32:I32"/>
    <mergeCell ref="B17:I17"/>
    <mergeCell ref="I18:I19"/>
    <mergeCell ref="B18:B19"/>
    <mergeCell ref="C18:C19"/>
    <mergeCell ref="D9:F9"/>
    <mergeCell ref="E18:E19"/>
    <mergeCell ref="F18:F19"/>
    <mergeCell ref="D16:E16"/>
  </mergeCells>
  <printOptions horizontalCentered="1"/>
  <pageMargins left="0.19685039370078741" right="0.19685039370078741" top="0.15748031496062992" bottom="0.24" header="0.16" footer="0.24"/>
  <pageSetup paperSize="9" scale="3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X47"/>
  <sheetViews>
    <sheetView zoomScale="110" zoomScaleNormal="110" workbookViewId="0">
      <selection activeCell="Q22" sqref="Q22"/>
    </sheetView>
  </sheetViews>
  <sheetFormatPr defaultColWidth="9.140625" defaultRowHeight="15.75" outlineLevelRow="1"/>
  <cols>
    <col min="1" max="1" width="2.85546875" style="2" customWidth="1"/>
    <col min="2" max="2" width="55.140625" style="2" customWidth="1"/>
    <col min="3" max="3" width="12.85546875" style="12" customWidth="1"/>
    <col min="4" max="4" width="9.5703125" style="4" customWidth="1"/>
    <col min="5" max="5" width="9.42578125" style="4" customWidth="1"/>
    <col min="6" max="6" width="10.140625" style="4" customWidth="1"/>
    <col min="7" max="7" width="10.140625" style="2" customWidth="1"/>
    <col min="8" max="8" width="10.28515625" style="2" customWidth="1"/>
    <col min="9" max="9" width="9.7109375" style="2" customWidth="1"/>
    <col min="10" max="10" width="11.85546875" style="274" customWidth="1"/>
    <col min="11" max="13" width="9.140625" style="274"/>
    <col min="14" max="14" width="20.140625" style="274" customWidth="1"/>
    <col min="15" max="15" width="16.140625" style="274" customWidth="1"/>
    <col min="16" max="16" width="18.5703125" style="274" customWidth="1"/>
    <col min="17" max="17" width="18.42578125" style="274" customWidth="1"/>
    <col min="18" max="18" width="0" style="274" hidden="1" customWidth="1"/>
    <col min="19" max="19" width="10.42578125" style="274" customWidth="1"/>
    <col min="20" max="20" width="11.85546875" style="274" customWidth="1"/>
    <col min="21" max="22" width="9.140625" style="274"/>
    <col min="23" max="23" width="10" style="2" customWidth="1"/>
    <col min="24" max="24" width="11" style="2" customWidth="1"/>
    <col min="25" max="16384" width="9.140625" style="2"/>
  </cols>
  <sheetData>
    <row r="1" spans="1:24">
      <c r="A1" s="6"/>
      <c r="B1" s="168" t="s">
        <v>138</v>
      </c>
      <c r="C1" s="168"/>
      <c r="D1" s="168"/>
      <c r="E1" s="168"/>
      <c r="F1" s="168"/>
      <c r="G1" s="168"/>
      <c r="H1" s="168"/>
      <c r="I1" s="168"/>
      <c r="P1" s="296"/>
      <c r="Q1" s="296"/>
      <c r="R1" s="312"/>
      <c r="S1" s="313"/>
      <c r="T1" s="313"/>
      <c r="U1" s="313"/>
      <c r="V1" s="296"/>
      <c r="W1" s="6"/>
      <c r="X1" s="6"/>
    </row>
    <row r="2" spans="1:24">
      <c r="A2" s="6"/>
      <c r="B2" s="168" t="s">
        <v>139</v>
      </c>
      <c r="C2" s="168"/>
      <c r="D2" s="168"/>
      <c r="E2" s="168"/>
      <c r="F2" s="168"/>
      <c r="G2" s="168"/>
      <c r="H2" s="168"/>
      <c r="I2" s="168"/>
      <c r="P2" s="296"/>
      <c r="Q2" s="296"/>
      <c r="R2" s="312"/>
      <c r="S2" s="313"/>
      <c r="T2" s="313"/>
      <c r="U2" s="313"/>
      <c r="V2" s="296"/>
      <c r="W2" s="6"/>
      <c r="X2" s="6"/>
    </row>
    <row r="3" spans="1:24">
      <c r="A3" s="6"/>
      <c r="B3" s="168" t="s">
        <v>140</v>
      </c>
      <c r="C3" s="168"/>
      <c r="D3" s="168"/>
      <c r="E3" s="168"/>
      <c r="F3" s="168"/>
      <c r="G3" s="168"/>
      <c r="H3" s="168"/>
      <c r="I3" s="168"/>
      <c r="P3" s="296"/>
      <c r="Q3" s="296"/>
      <c r="R3" s="312"/>
      <c r="S3" s="313"/>
      <c r="T3" s="313"/>
      <c r="U3" s="313"/>
      <c r="V3" s="296"/>
      <c r="W3" s="6"/>
      <c r="X3" s="6"/>
    </row>
    <row r="4" spans="1:24">
      <c r="A4" s="6"/>
      <c r="B4" s="168" t="s">
        <v>148</v>
      </c>
      <c r="C4" s="168"/>
      <c r="D4" s="168"/>
      <c r="E4" s="168"/>
      <c r="F4" s="168"/>
      <c r="G4" s="168"/>
      <c r="H4" s="168"/>
      <c r="I4" s="168"/>
      <c r="P4" s="296"/>
      <c r="Q4" s="296"/>
      <c r="R4" s="312"/>
      <c r="S4" s="313"/>
      <c r="T4" s="313"/>
      <c r="U4" s="313"/>
      <c r="V4" s="296"/>
      <c r="W4" s="6"/>
      <c r="X4" s="6"/>
    </row>
    <row r="5" spans="1:24" ht="5.25" customHeight="1">
      <c r="A5" s="6"/>
      <c r="B5" s="66"/>
      <c r="C5" s="66"/>
      <c r="D5" s="66"/>
      <c r="E5" s="66"/>
      <c r="F5" s="66"/>
      <c r="G5" s="66"/>
      <c r="H5" s="66"/>
      <c r="I5" s="66"/>
      <c r="P5" s="296"/>
      <c r="Q5" s="296"/>
      <c r="R5" s="312"/>
      <c r="S5" s="313"/>
      <c r="T5" s="313"/>
      <c r="U5" s="313"/>
      <c r="V5" s="296"/>
      <c r="W5" s="6"/>
      <c r="X5" s="6"/>
    </row>
    <row r="6" spans="1:24" ht="19.5" customHeight="1">
      <c r="A6" s="85"/>
      <c r="B6" s="200" t="s">
        <v>141</v>
      </c>
      <c r="C6" s="200"/>
      <c r="D6" s="200"/>
      <c r="E6" s="200"/>
      <c r="F6" s="200"/>
      <c r="G6" s="200"/>
      <c r="H6" s="200"/>
      <c r="I6" s="200"/>
      <c r="P6" s="314"/>
      <c r="Q6" s="315"/>
      <c r="R6" s="315"/>
      <c r="S6" s="315"/>
      <c r="T6" s="315"/>
      <c r="U6" s="315"/>
      <c r="V6" s="316"/>
      <c r="W6" s="87"/>
      <c r="X6" s="86"/>
    </row>
    <row r="7" spans="1:24" ht="20.25" customHeight="1">
      <c r="A7" s="85"/>
      <c r="B7" s="200"/>
      <c r="C7" s="200"/>
      <c r="D7" s="200"/>
      <c r="E7" s="200"/>
      <c r="F7" s="200"/>
      <c r="G7" s="200"/>
      <c r="H7" s="200"/>
      <c r="I7" s="200"/>
      <c r="P7" s="314"/>
      <c r="Q7" s="316"/>
      <c r="R7" s="316"/>
      <c r="S7" s="316"/>
      <c r="T7" s="316"/>
      <c r="U7" s="316"/>
      <c r="V7" s="316"/>
      <c r="W7" s="87"/>
      <c r="X7" s="86"/>
    </row>
    <row r="8" spans="1:24" ht="9.75" customHeight="1">
      <c r="A8" s="85"/>
      <c r="B8" s="10"/>
      <c r="C8" s="10"/>
      <c r="D8" s="10"/>
      <c r="E8" s="10"/>
      <c r="F8" s="10"/>
      <c r="G8" s="10"/>
      <c r="H8" s="10"/>
      <c r="I8" s="10"/>
      <c r="P8" s="314"/>
      <c r="Q8" s="316"/>
      <c r="R8" s="316"/>
      <c r="S8" s="316"/>
      <c r="T8" s="316"/>
      <c r="U8" s="316"/>
      <c r="V8" s="316"/>
      <c r="W8" s="87"/>
      <c r="X8" s="86"/>
    </row>
    <row r="9" spans="1:24">
      <c r="A9" s="6"/>
      <c r="B9" s="6" t="s">
        <v>0</v>
      </c>
      <c r="C9" s="62"/>
      <c r="D9" s="207" t="s">
        <v>38</v>
      </c>
      <c r="E9" s="207"/>
      <c r="F9" s="207"/>
      <c r="G9" s="6"/>
      <c r="H9" s="6"/>
      <c r="I9" s="6"/>
      <c r="P9" s="296"/>
      <c r="Q9" s="295"/>
      <c r="R9" s="317"/>
      <c r="S9" s="318"/>
      <c r="T9" s="318"/>
      <c r="U9" s="318"/>
      <c r="V9" s="295"/>
      <c r="W9" s="50"/>
      <c r="X9" s="6"/>
    </row>
    <row r="10" spans="1:24">
      <c r="A10" s="6"/>
      <c r="B10" s="6" t="s">
        <v>1</v>
      </c>
      <c r="C10" s="62"/>
      <c r="D10" s="63">
        <v>1966</v>
      </c>
      <c r="E10" s="63"/>
      <c r="F10" s="63"/>
      <c r="G10" s="6"/>
      <c r="H10" s="6"/>
      <c r="I10" s="6"/>
      <c r="P10" s="296"/>
      <c r="Q10" s="295"/>
      <c r="R10" s="317"/>
      <c r="S10" s="319"/>
      <c r="T10" s="319"/>
      <c r="U10" s="319"/>
      <c r="V10" s="295"/>
      <c r="W10" s="50"/>
      <c r="X10" s="6"/>
    </row>
    <row r="11" spans="1:24" hidden="1" outlineLevel="1">
      <c r="A11" s="6"/>
      <c r="B11" s="6" t="s">
        <v>2</v>
      </c>
      <c r="C11" s="62"/>
      <c r="D11" s="63">
        <v>4</v>
      </c>
      <c r="E11" s="63"/>
      <c r="F11" s="63"/>
      <c r="G11" s="6"/>
      <c r="H11" s="6"/>
      <c r="I11" s="6"/>
      <c r="P11" s="296"/>
      <c r="Q11" s="295"/>
      <c r="R11" s="317"/>
      <c r="S11" s="319"/>
      <c r="T11" s="319"/>
      <c r="U11" s="319"/>
      <c r="V11" s="295"/>
      <c r="W11" s="50"/>
      <c r="X11" s="6"/>
    </row>
    <row r="12" spans="1:24" hidden="1" outlineLevel="1">
      <c r="A12" s="6"/>
      <c r="B12" s="6" t="s">
        <v>3</v>
      </c>
      <c r="C12" s="62"/>
      <c r="D12" s="63">
        <v>32</v>
      </c>
      <c r="E12" s="63"/>
      <c r="F12" s="63"/>
      <c r="G12" s="6"/>
      <c r="H12" s="6"/>
      <c r="I12" s="6"/>
      <c r="P12" s="296"/>
      <c r="Q12" s="295"/>
      <c r="R12" s="317"/>
      <c r="S12" s="319"/>
      <c r="T12" s="319"/>
      <c r="U12" s="319"/>
      <c r="V12" s="295"/>
      <c r="W12" s="50"/>
      <c r="X12" s="6"/>
    </row>
    <row r="13" spans="1:24" ht="30.75" hidden="1" customHeight="1" outlineLevel="1">
      <c r="A13" s="6"/>
      <c r="B13" s="64" t="s">
        <v>4</v>
      </c>
      <c r="C13" s="65"/>
      <c r="D13" s="63" t="s">
        <v>39</v>
      </c>
      <c r="E13" s="63"/>
      <c r="F13" s="63"/>
      <c r="G13" s="6"/>
      <c r="H13" s="6"/>
      <c r="I13" s="6"/>
      <c r="P13" s="296"/>
      <c r="Q13" s="320"/>
      <c r="R13" s="321"/>
      <c r="S13" s="319"/>
      <c r="T13" s="319"/>
      <c r="U13" s="319"/>
      <c r="V13" s="295"/>
      <c r="W13" s="50"/>
      <c r="X13" s="6"/>
    </row>
    <row r="14" spans="1:24" collapsed="1">
      <c r="A14" s="6"/>
      <c r="B14" s="6" t="s">
        <v>5</v>
      </c>
      <c r="C14" s="62"/>
      <c r="D14" s="63" t="s">
        <v>119</v>
      </c>
      <c r="E14" s="63"/>
      <c r="F14" s="63"/>
      <c r="G14" s="6"/>
      <c r="H14" s="6"/>
      <c r="I14" s="6"/>
      <c r="J14" s="276"/>
      <c r="P14" s="296"/>
      <c r="Q14" s="295"/>
      <c r="R14" s="317"/>
      <c r="S14" s="319"/>
      <c r="T14" s="319"/>
      <c r="U14" s="319"/>
      <c r="V14" s="295"/>
      <c r="W14" s="50"/>
      <c r="X14" s="6"/>
    </row>
    <row r="15" spans="1:24" hidden="1" outlineLevel="1">
      <c r="A15" s="6"/>
      <c r="B15" s="6" t="s">
        <v>6</v>
      </c>
      <c r="C15" s="62"/>
      <c r="D15" s="63" t="s">
        <v>7</v>
      </c>
      <c r="E15" s="63"/>
      <c r="F15" s="63"/>
      <c r="G15" s="6"/>
      <c r="H15" s="6"/>
      <c r="I15" s="6"/>
      <c r="P15" s="296"/>
      <c r="Q15" s="295"/>
      <c r="R15" s="317"/>
      <c r="S15" s="319"/>
      <c r="T15" s="319"/>
      <c r="U15" s="319"/>
      <c r="V15" s="295"/>
      <c r="W15" s="50"/>
      <c r="X15" s="6"/>
    </row>
    <row r="16" spans="1:24" ht="30.75" hidden="1" customHeight="1" outlineLevel="1">
      <c r="A16" s="6"/>
      <c r="B16" s="64" t="s">
        <v>8</v>
      </c>
      <c r="C16" s="65"/>
      <c r="D16" s="226" t="s">
        <v>40</v>
      </c>
      <c r="E16" s="226"/>
      <c r="F16" s="63"/>
      <c r="G16" s="6"/>
      <c r="H16" s="6"/>
      <c r="I16" s="6"/>
      <c r="J16" s="276"/>
      <c r="P16" s="296"/>
      <c r="Q16" s="320"/>
      <c r="R16" s="321"/>
      <c r="S16" s="322"/>
      <c r="T16" s="322"/>
      <c r="U16" s="319"/>
      <c r="V16" s="295"/>
      <c r="W16" s="50"/>
      <c r="X16" s="6"/>
    </row>
    <row r="17" spans="2:17" ht="16.5" customHeight="1" collapsed="1" thickBot="1">
      <c r="B17" s="215" t="s">
        <v>144</v>
      </c>
      <c r="C17" s="215"/>
      <c r="D17" s="215"/>
      <c r="E17" s="215"/>
      <c r="F17" s="215"/>
      <c r="G17" s="215"/>
      <c r="H17" s="215"/>
      <c r="I17" s="215"/>
      <c r="M17" s="276"/>
      <c r="N17" s="277" t="s">
        <v>99</v>
      </c>
      <c r="O17" s="277" t="s">
        <v>100</v>
      </c>
      <c r="P17" s="277" t="s">
        <v>101</v>
      </c>
      <c r="Q17" s="277" t="s">
        <v>102</v>
      </c>
    </row>
    <row r="18" spans="2:17" ht="34.5" customHeight="1">
      <c r="B18" s="224" t="s">
        <v>97</v>
      </c>
      <c r="C18" s="218" t="s">
        <v>103</v>
      </c>
      <c r="D18" s="218" t="s">
        <v>121</v>
      </c>
      <c r="E18" s="175" t="s">
        <v>147</v>
      </c>
      <c r="F18" s="210" t="s">
        <v>146</v>
      </c>
      <c r="G18" s="213" t="s">
        <v>104</v>
      </c>
      <c r="H18" s="214"/>
      <c r="I18" s="201" t="s">
        <v>151</v>
      </c>
      <c r="M18" s="276"/>
      <c r="N18" s="277"/>
      <c r="O18" s="277"/>
      <c r="P18" s="277"/>
      <c r="Q18" s="277"/>
    </row>
    <row r="19" spans="2:17" ht="39.75" customHeight="1" thickBot="1">
      <c r="B19" s="225"/>
      <c r="C19" s="219"/>
      <c r="D19" s="219"/>
      <c r="E19" s="176"/>
      <c r="F19" s="211"/>
      <c r="G19" s="16" t="s">
        <v>84</v>
      </c>
      <c r="H19" s="17" t="s">
        <v>85</v>
      </c>
      <c r="I19" s="202"/>
      <c r="N19" s="278">
        <v>89634.54</v>
      </c>
      <c r="O19" s="278">
        <f>182502.44-N19</f>
        <v>92867.900000000009</v>
      </c>
      <c r="P19" s="278">
        <v>83463.460000000006</v>
      </c>
      <c r="Q19" s="278">
        <v>95126.99</v>
      </c>
    </row>
    <row r="20" spans="2:17" ht="51.75" customHeight="1">
      <c r="B20" s="18" t="s">
        <v>89</v>
      </c>
      <c r="C20" s="19" t="s">
        <v>105</v>
      </c>
      <c r="D20" s="20" t="s">
        <v>106</v>
      </c>
      <c r="E20" s="21">
        <v>1.05</v>
      </c>
      <c r="F20" s="21">
        <v>1.06</v>
      </c>
      <c r="G20" s="22">
        <f>($N$19/$N$20*E20)+($O$19/$O$20*F20)</f>
        <v>18630.485245444161</v>
      </c>
      <c r="H20" s="23">
        <f>($P$19/$P$20*E20)+($Q$19/$Q$20*F20)</f>
        <v>18205.021022531044</v>
      </c>
      <c r="I20" s="24">
        <f>G20-H20</f>
        <v>425.46422291311683</v>
      </c>
      <c r="J20" s="279"/>
      <c r="K20" s="280"/>
      <c r="L20" s="280"/>
      <c r="M20" s="281"/>
      <c r="N20" s="282">
        <f>E31-E29-E27</f>
        <v>9.98</v>
      </c>
      <c r="O20" s="282">
        <f>F31-F29-F27</f>
        <v>10.700000000000001</v>
      </c>
      <c r="P20" s="282">
        <f>E31-E29-E27</f>
        <v>9.98</v>
      </c>
      <c r="Q20" s="282">
        <f>F31-F29-F27</f>
        <v>10.700000000000001</v>
      </c>
    </row>
    <row r="21" spans="2:17" ht="51">
      <c r="B21" s="26" t="s">
        <v>93</v>
      </c>
      <c r="C21" s="19" t="s">
        <v>105</v>
      </c>
      <c r="D21" s="20" t="s">
        <v>106</v>
      </c>
      <c r="E21" s="27">
        <v>1.17</v>
      </c>
      <c r="F21" s="27">
        <v>1.19</v>
      </c>
      <c r="G21" s="22">
        <f t="shared" ref="G21:G30" si="0">($N$19/$N$20*E21)+($O$19/$O$20*F21)</f>
        <v>20836.556854269285</v>
      </c>
      <c r="H21" s="23">
        <f t="shared" ref="H21:H26" si="1">($P$19/$P$20*E21)+($Q$19/$Q$20*F21)</f>
        <v>20364.338156481186</v>
      </c>
      <c r="I21" s="24">
        <f t="shared" ref="I21:I28" si="2">G21-H21</f>
        <v>472.21869778809923</v>
      </c>
      <c r="J21" s="283"/>
      <c r="K21" s="284"/>
      <c r="L21" s="284"/>
      <c r="M21" s="284"/>
      <c r="N21" s="285"/>
      <c r="O21" s="284"/>
      <c r="P21" s="284"/>
      <c r="Q21" s="284"/>
    </row>
    <row r="22" spans="2:17" ht="51" customHeight="1">
      <c r="B22" s="30" t="s">
        <v>86</v>
      </c>
      <c r="C22" s="19" t="s">
        <v>105</v>
      </c>
      <c r="D22" s="20" t="s">
        <v>106</v>
      </c>
      <c r="E22" s="27">
        <v>0.27</v>
      </c>
      <c r="F22" s="27">
        <v>0.32</v>
      </c>
      <c r="G22" s="22">
        <f t="shared" si="0"/>
        <v>5202.3403020995265</v>
      </c>
      <c r="H22" s="23">
        <f t="shared" si="1"/>
        <v>5102.94880606072</v>
      </c>
      <c r="I22" s="24">
        <f t="shared" si="2"/>
        <v>99.391496038806508</v>
      </c>
      <c r="J22" s="286"/>
      <c r="M22" s="276"/>
    </row>
    <row r="23" spans="2:17" ht="18.75" customHeight="1">
      <c r="B23" s="30" t="s">
        <v>184</v>
      </c>
      <c r="C23" s="19" t="s">
        <v>183</v>
      </c>
      <c r="D23" s="20" t="s">
        <v>106</v>
      </c>
      <c r="E23" s="27"/>
      <c r="F23" s="27"/>
      <c r="G23" s="22"/>
      <c r="H23" s="23">
        <v>14212</v>
      </c>
      <c r="I23" s="24">
        <f t="shared" si="2"/>
        <v>-14212</v>
      </c>
      <c r="J23" s="286"/>
      <c r="M23" s="276"/>
    </row>
    <row r="24" spans="2:17" ht="25.5">
      <c r="B24" s="30" t="s">
        <v>87</v>
      </c>
      <c r="C24" s="32" t="s">
        <v>107</v>
      </c>
      <c r="D24" s="20" t="s">
        <v>106</v>
      </c>
      <c r="E24" s="27">
        <v>0.18</v>
      </c>
      <c r="F24" s="27">
        <v>0.18</v>
      </c>
      <c r="G24" s="22">
        <f t="shared" si="0"/>
        <v>3178.9187683778769</v>
      </c>
      <c r="H24" s="23">
        <f t="shared" si="1"/>
        <v>3105.6201074672708</v>
      </c>
      <c r="I24" s="24">
        <f t="shared" si="2"/>
        <v>73.298660910606031</v>
      </c>
      <c r="J24" s="286"/>
      <c r="M24" s="276"/>
    </row>
    <row r="25" spans="2:17" ht="51">
      <c r="B25" s="26" t="s">
        <v>90</v>
      </c>
      <c r="C25" s="19" t="s">
        <v>170</v>
      </c>
      <c r="D25" s="20" t="s">
        <v>106</v>
      </c>
      <c r="E25" s="27">
        <v>1.33</v>
      </c>
      <c r="F25" s="27">
        <v>1.18</v>
      </c>
      <c r="G25" s="22">
        <f t="shared" si="0"/>
        <v>22186.791117749519</v>
      </c>
      <c r="H25" s="23">
        <f t="shared" si="1"/>
        <v>21613.525970595394</v>
      </c>
      <c r="I25" s="24">
        <f t="shared" si="2"/>
        <v>573.26514715412486</v>
      </c>
      <c r="J25" s="286"/>
    </row>
    <row r="26" spans="2:17" ht="217.5" customHeight="1">
      <c r="B26" s="26" t="s">
        <v>145</v>
      </c>
      <c r="C26" s="19" t="s">
        <v>109</v>
      </c>
      <c r="D26" s="20" t="s">
        <v>106</v>
      </c>
      <c r="E26" s="27">
        <v>5.6</v>
      </c>
      <c r="F26" s="27">
        <v>5.61</v>
      </c>
      <c r="G26" s="22">
        <f t="shared" si="0"/>
        <v>98986.487446107159</v>
      </c>
      <c r="H26" s="23">
        <f t="shared" si="1"/>
        <v>96708.195961287056</v>
      </c>
      <c r="I26" s="24">
        <f t="shared" si="2"/>
        <v>2278.2914848201035</v>
      </c>
      <c r="J26" s="283"/>
      <c r="K26" s="284"/>
      <c r="L26" s="284"/>
      <c r="M26" s="285"/>
      <c r="N26" s="284"/>
      <c r="O26" s="284"/>
      <c r="P26" s="284"/>
      <c r="Q26" s="284"/>
    </row>
    <row r="27" spans="2:17" ht="24">
      <c r="B27" s="30" t="s">
        <v>108</v>
      </c>
      <c r="C27" s="19" t="s">
        <v>107</v>
      </c>
      <c r="D27" s="20" t="s">
        <v>106</v>
      </c>
      <c r="E27" s="27">
        <v>2</v>
      </c>
      <c r="F27" s="27">
        <v>2</v>
      </c>
      <c r="G27" s="22">
        <v>35925.599999999999</v>
      </c>
      <c r="H27" s="28">
        <v>34437.730000000003</v>
      </c>
      <c r="I27" s="24">
        <f>H27-G27</f>
        <v>-1487.8699999999953</v>
      </c>
      <c r="J27" s="286"/>
    </row>
    <row r="28" spans="2:17" ht="102">
      <c r="B28" s="26" t="s">
        <v>111</v>
      </c>
      <c r="C28" s="19" t="s">
        <v>105</v>
      </c>
      <c r="D28" s="20" t="s">
        <v>106</v>
      </c>
      <c r="E28" s="27">
        <v>0.21</v>
      </c>
      <c r="F28" s="27">
        <v>0.24</v>
      </c>
      <c r="G28" s="22">
        <f t="shared" si="0"/>
        <v>3969.1158528271494</v>
      </c>
      <c r="H28" s="23">
        <f t="shared" ref="H28" si="3">($P$19/$P$20*E28)+($Q$19/$Q$20*F28)</f>
        <v>3889.9346456277035</v>
      </c>
      <c r="I28" s="24">
        <f t="shared" si="2"/>
        <v>79.181207199445907</v>
      </c>
      <c r="J28" s="286"/>
    </row>
    <row r="29" spans="2:17" ht="56.25" customHeight="1">
      <c r="B29" s="30" t="s">
        <v>94</v>
      </c>
      <c r="C29" s="19" t="s">
        <v>105</v>
      </c>
      <c r="D29" s="20" t="s">
        <v>106</v>
      </c>
      <c r="E29" s="27">
        <v>3.61</v>
      </c>
      <c r="F29" s="27">
        <v>3.83</v>
      </c>
      <c r="G29" s="22">
        <v>65833.81</v>
      </c>
      <c r="H29" s="28">
        <v>35927</v>
      </c>
      <c r="I29" s="24">
        <f>G29-H29</f>
        <v>29906.809999999998</v>
      </c>
      <c r="J29" s="286"/>
      <c r="M29" s="276"/>
    </row>
    <row r="30" spans="2:17" ht="16.5" thickBot="1">
      <c r="B30" s="69" t="s">
        <v>88</v>
      </c>
      <c r="C30" s="34" t="s">
        <v>109</v>
      </c>
      <c r="D30" s="35" t="s">
        <v>106</v>
      </c>
      <c r="E30" s="36">
        <v>0.17</v>
      </c>
      <c r="F30" s="36">
        <v>0.92</v>
      </c>
      <c r="G30" s="37">
        <f t="shared" si="0"/>
        <v>9511.744413125316</v>
      </c>
      <c r="H30" s="73">
        <f t="shared" ref="H30" si="4">($P$19/$P$20*E30)+($Q$19/$Q$20*F30)</f>
        <v>9600.8653299496182</v>
      </c>
      <c r="I30" s="24">
        <f>G30-H30</f>
        <v>-89.120916824302185</v>
      </c>
      <c r="J30" s="286"/>
    </row>
    <row r="31" spans="2:17" ht="16.5" thickBot="1">
      <c r="B31" s="39" t="s">
        <v>92</v>
      </c>
      <c r="C31" s="40"/>
      <c r="D31" s="40"/>
      <c r="E31" s="41">
        <f>SUM(E20:E30)</f>
        <v>15.59</v>
      </c>
      <c r="F31" s="42">
        <f>SUM(F20:F30)</f>
        <v>16.53</v>
      </c>
      <c r="G31" s="43">
        <f>SUM(G20:G30)</f>
        <v>284261.84999999998</v>
      </c>
      <c r="H31" s="44">
        <f>SUM(H20:H30)</f>
        <v>263167.18</v>
      </c>
      <c r="I31" s="45">
        <f>SUM(I20:I30)</f>
        <v>18118.930000000008</v>
      </c>
      <c r="J31" s="286"/>
    </row>
    <row r="32" spans="2:17">
      <c r="B32" s="5"/>
      <c r="C32" s="5"/>
      <c r="D32" s="5"/>
      <c r="E32" s="12"/>
      <c r="F32" s="12"/>
      <c r="G32" s="12"/>
      <c r="H32" s="12"/>
      <c r="I32" s="4"/>
    </row>
    <row r="33" spans="2:17" ht="16.5" customHeight="1" thickBot="1">
      <c r="B33" s="177" t="s">
        <v>143</v>
      </c>
      <c r="C33" s="177"/>
      <c r="D33" s="177"/>
      <c r="E33" s="177"/>
      <c r="F33" s="177"/>
      <c r="G33" s="177"/>
      <c r="H33" s="177"/>
      <c r="I33" s="177"/>
      <c r="J33" s="287"/>
      <c r="K33" s="287"/>
    </row>
    <row r="34" spans="2:17" ht="57" customHeight="1">
      <c r="B34" s="46"/>
      <c r="C34" s="47"/>
      <c r="D34" s="182" t="s">
        <v>110</v>
      </c>
      <c r="E34" s="183"/>
      <c r="F34" s="171" t="s">
        <v>9</v>
      </c>
      <c r="G34" s="172"/>
      <c r="H34" s="171" t="s">
        <v>182</v>
      </c>
      <c r="I34" s="223"/>
      <c r="J34" s="288"/>
      <c r="K34" s="289"/>
      <c r="L34" s="290"/>
      <c r="M34" s="291"/>
      <c r="N34" s="292"/>
      <c r="O34" s="292"/>
      <c r="P34" s="292"/>
      <c r="Q34" s="292"/>
    </row>
    <row r="35" spans="2:17">
      <c r="B35" s="48" t="s">
        <v>11</v>
      </c>
      <c r="C35" s="49"/>
      <c r="D35" s="169">
        <f>F35+H35</f>
        <v>284261.84999999998</v>
      </c>
      <c r="E35" s="184"/>
      <c r="F35" s="169">
        <f>182502.44+35925.6</f>
        <v>218428.04</v>
      </c>
      <c r="G35" s="184"/>
      <c r="H35" s="169">
        <f>G29</f>
        <v>65833.81</v>
      </c>
      <c r="I35" s="180"/>
      <c r="J35" s="293"/>
      <c r="K35" s="298"/>
      <c r="L35" s="295">
        <v>20450.509999999998</v>
      </c>
      <c r="M35" s="295">
        <v>304712.36</v>
      </c>
      <c r="N35" s="296">
        <f>M35-L35</f>
        <v>284261.84999999998</v>
      </c>
      <c r="O35" s="297">
        <f>N35-D35</f>
        <v>0</v>
      </c>
    </row>
    <row r="36" spans="2:17">
      <c r="B36" s="48" t="s">
        <v>12</v>
      </c>
      <c r="C36" s="49"/>
      <c r="D36" s="169">
        <f>F36+H36</f>
        <v>272738.45</v>
      </c>
      <c r="E36" s="184"/>
      <c r="F36" s="169">
        <f>175170.33+34437.73</f>
        <v>209608.06</v>
      </c>
      <c r="G36" s="184"/>
      <c r="H36" s="169">
        <v>63130.39</v>
      </c>
      <c r="I36" s="180"/>
      <c r="J36" s="293"/>
      <c r="K36" s="298"/>
      <c r="L36" s="299">
        <v>253.03</v>
      </c>
      <c r="M36" s="295">
        <v>272991.48</v>
      </c>
      <c r="N36" s="296">
        <f>M36-L36</f>
        <v>272738.44999999995</v>
      </c>
      <c r="O36" s="297">
        <f>N36-D36</f>
        <v>0</v>
      </c>
    </row>
    <row r="37" spans="2:17" ht="16.5" thickBot="1">
      <c r="B37" s="51" t="s">
        <v>91</v>
      </c>
      <c r="C37" s="52"/>
      <c r="D37" s="187">
        <f>F37+H37</f>
        <v>263167.18000000005</v>
      </c>
      <c r="E37" s="189"/>
      <c r="F37" s="187">
        <f>H20+H21+H22+H24+H25+H26+H27+H28+H30</f>
        <v>213028.18000000002</v>
      </c>
      <c r="G37" s="189"/>
      <c r="H37" s="187">
        <f>H29+H23</f>
        <v>50139</v>
      </c>
      <c r="I37" s="220"/>
      <c r="J37" s="293"/>
      <c r="K37" s="298"/>
      <c r="L37" s="286"/>
      <c r="M37" s="286"/>
    </row>
    <row r="38" spans="2:17" ht="36.75" thickBot="1">
      <c r="B38" s="53" t="s">
        <v>156</v>
      </c>
      <c r="C38" s="54"/>
      <c r="D38" s="198">
        <f>F38+H38</f>
        <v>9571.269999999975</v>
      </c>
      <c r="E38" s="199"/>
      <c r="F38" s="191">
        <f>F36-F37</f>
        <v>-3420.1200000000244</v>
      </c>
      <c r="G38" s="221"/>
      <c r="H38" s="191">
        <f>H36-H37</f>
        <v>12991.39</v>
      </c>
      <c r="I38" s="222"/>
      <c r="J38" s="293"/>
      <c r="K38" s="298"/>
      <c r="L38" s="286"/>
      <c r="M38" s="286"/>
    </row>
    <row r="39" spans="2:17" ht="31.5" customHeight="1">
      <c r="B39" s="70" t="s">
        <v>79</v>
      </c>
      <c r="C39" s="70"/>
      <c r="D39" s="70"/>
      <c r="E39" s="212" t="s">
        <v>80</v>
      </c>
      <c r="F39" s="212"/>
      <c r="G39" s="195" t="s">
        <v>13</v>
      </c>
      <c r="H39" s="195"/>
      <c r="I39" s="55"/>
      <c r="J39" s="300"/>
      <c r="K39" s="284"/>
      <c r="L39" s="284"/>
      <c r="M39" s="284"/>
      <c r="N39" s="284"/>
      <c r="O39" s="284"/>
      <c r="P39" s="284"/>
      <c r="Q39" s="284"/>
    </row>
    <row r="40" spans="2:17" ht="10.5" customHeight="1">
      <c r="B40" s="70"/>
      <c r="C40" s="70"/>
      <c r="D40" s="70"/>
      <c r="E40" s="185" t="s">
        <v>14</v>
      </c>
      <c r="F40" s="185"/>
      <c r="G40" s="196"/>
      <c r="H40" s="196"/>
      <c r="I40" s="55"/>
      <c r="J40" s="300"/>
      <c r="K40" s="284"/>
      <c r="L40" s="284"/>
      <c r="M40" s="284"/>
      <c r="N40" s="284"/>
      <c r="O40" s="284"/>
      <c r="P40" s="284"/>
      <c r="Q40" s="284"/>
    </row>
    <row r="41" spans="2:17">
      <c r="B41" s="70" t="s">
        <v>81</v>
      </c>
      <c r="C41" s="70"/>
      <c r="D41" s="70"/>
      <c r="E41" s="186" t="s">
        <v>80</v>
      </c>
      <c r="F41" s="186"/>
      <c r="G41" s="195" t="s">
        <v>96</v>
      </c>
      <c r="H41" s="195"/>
      <c r="I41" s="55"/>
      <c r="J41" s="300"/>
      <c r="K41" s="284"/>
      <c r="L41" s="284"/>
      <c r="M41" s="284"/>
      <c r="N41" s="284"/>
      <c r="O41" s="284"/>
      <c r="P41" s="284"/>
      <c r="Q41" s="284"/>
    </row>
    <row r="42" spans="2:17" ht="9" customHeight="1">
      <c r="B42" s="70"/>
      <c r="C42" s="70"/>
      <c r="D42" s="70"/>
      <c r="E42" s="185" t="s">
        <v>14</v>
      </c>
      <c r="F42" s="185"/>
      <c r="G42" s="195"/>
      <c r="H42" s="195"/>
      <c r="I42" s="55"/>
      <c r="J42" s="300"/>
    </row>
    <row r="43" spans="2:17">
      <c r="B43" s="70" t="s">
        <v>82</v>
      </c>
      <c r="C43" s="70"/>
      <c r="D43" s="70"/>
      <c r="E43" s="186" t="s">
        <v>80</v>
      </c>
      <c r="F43" s="186"/>
      <c r="G43" s="195" t="s">
        <v>98</v>
      </c>
      <c r="H43" s="195"/>
      <c r="I43" s="55"/>
      <c r="J43" s="300"/>
    </row>
    <row r="44" spans="2:17" ht="9" customHeight="1">
      <c r="B44" s="58"/>
      <c r="C44" s="58"/>
      <c r="D44" s="58"/>
      <c r="E44" s="185" t="s">
        <v>14</v>
      </c>
      <c r="F44" s="185"/>
      <c r="G44" s="59"/>
      <c r="H44" s="57"/>
      <c r="I44" s="60"/>
      <c r="J44" s="296"/>
    </row>
    <row r="45" spans="2:17">
      <c r="B45" s="70" t="s">
        <v>83</v>
      </c>
      <c r="C45" s="70"/>
      <c r="D45" s="70"/>
      <c r="E45" s="186" t="s">
        <v>80</v>
      </c>
      <c r="F45" s="186"/>
      <c r="G45" s="195" t="s">
        <v>142</v>
      </c>
      <c r="H45" s="195"/>
      <c r="I45" s="55"/>
      <c r="J45" s="300"/>
    </row>
    <row r="46" spans="2:17" ht="11.25" customHeight="1">
      <c r="B46" s="8"/>
      <c r="C46" s="8"/>
      <c r="D46" s="8"/>
      <c r="E46" s="185" t="s">
        <v>14</v>
      </c>
      <c r="F46" s="185"/>
      <c r="G46" s="185"/>
      <c r="H46" s="185"/>
      <c r="I46" s="4"/>
      <c r="J46" s="292"/>
    </row>
    <row r="47" spans="2:17">
      <c r="E47" s="61"/>
      <c r="F47" s="61"/>
    </row>
  </sheetData>
  <mergeCells count="49">
    <mergeCell ref="B1:I1"/>
    <mergeCell ref="G39:H39"/>
    <mergeCell ref="F38:G38"/>
    <mergeCell ref="E39:F39"/>
    <mergeCell ref="E41:F41"/>
    <mergeCell ref="B6:I7"/>
    <mergeCell ref="H36:I36"/>
    <mergeCell ref="H37:I37"/>
    <mergeCell ref="H38:I38"/>
    <mergeCell ref="C18:C19"/>
    <mergeCell ref="D18:D19"/>
    <mergeCell ref="I18:I19"/>
    <mergeCell ref="B33:I33"/>
    <mergeCell ref="G41:H41"/>
    <mergeCell ref="F18:F19"/>
    <mergeCell ref="G18:H18"/>
    <mergeCell ref="E46:F46"/>
    <mergeCell ref="G46:H46"/>
    <mergeCell ref="E45:F45"/>
    <mergeCell ref="G45:H45"/>
    <mergeCell ref="E43:F43"/>
    <mergeCell ref="G43:H43"/>
    <mergeCell ref="E44:F44"/>
    <mergeCell ref="E42:F42"/>
    <mergeCell ref="G42:H42"/>
    <mergeCell ref="Q6:U6"/>
    <mergeCell ref="F34:G34"/>
    <mergeCell ref="F35:G35"/>
    <mergeCell ref="F36:G36"/>
    <mergeCell ref="F37:G37"/>
    <mergeCell ref="H34:I34"/>
    <mergeCell ref="H35:I35"/>
    <mergeCell ref="S9:U9"/>
    <mergeCell ref="S16:T16"/>
    <mergeCell ref="D9:F9"/>
    <mergeCell ref="D16:E16"/>
    <mergeCell ref="B17:I17"/>
    <mergeCell ref="B18:B19"/>
    <mergeCell ref="E18:E19"/>
    <mergeCell ref="B2:I2"/>
    <mergeCell ref="B3:I3"/>
    <mergeCell ref="B4:I4"/>
    <mergeCell ref="E40:F40"/>
    <mergeCell ref="G40:H40"/>
    <mergeCell ref="D34:E34"/>
    <mergeCell ref="D35:E35"/>
    <mergeCell ref="D36:E36"/>
    <mergeCell ref="D37:E37"/>
    <mergeCell ref="D38:E38"/>
  </mergeCells>
  <printOptions horizontalCentered="1"/>
  <pageMargins left="0.22" right="0.2" top="0.15748031496062992" bottom="0.23622047244094491" header="0.16" footer="0.24"/>
  <pageSetup paperSize="9" scale="3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60</vt:lpstr>
      <vt:lpstr>62</vt:lpstr>
      <vt:lpstr>62а</vt:lpstr>
      <vt:lpstr>68</vt:lpstr>
      <vt:lpstr>68а</vt:lpstr>
      <vt:lpstr>70</vt:lpstr>
      <vt:lpstr>70а</vt:lpstr>
      <vt:lpstr>72</vt:lpstr>
      <vt:lpstr>72а</vt:lpstr>
      <vt:lpstr>80</vt:lpstr>
      <vt:lpstr>82</vt:lpstr>
      <vt:lpstr>84в</vt:lpstr>
      <vt:lpstr>86а</vt:lpstr>
      <vt:lpstr>88</vt:lpstr>
      <vt:lpstr>92</vt:lpstr>
      <vt:lpstr>92а</vt:lpstr>
      <vt:lpstr>94</vt:lpstr>
      <vt:lpstr>96</vt:lpstr>
      <vt:lpstr>96а</vt:lpstr>
      <vt:lpstr>98</vt:lpstr>
      <vt:lpstr>100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2017-06-26T07:53:19Z</dcterms:modified>
</cp:coreProperties>
</file>