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ой.64" sheetId="1" r:id="rId1"/>
    <sheet name="вой.66" sheetId="2" r:id="rId2"/>
    <sheet name="коп.3" sheetId="3" r:id="rId3"/>
    <sheet name="коп.5" sheetId="4" r:id="rId4"/>
    <sheet name="коп.7" sheetId="5" r:id="rId5"/>
    <sheet name="коп.8" sheetId="6" r:id="rId6"/>
    <sheet name="коп.10" sheetId="7" r:id="rId7"/>
    <sheet name="коп.15" sheetId="8" r:id="rId8"/>
    <sheet name="коп.17" sheetId="9" r:id="rId9"/>
    <sheet name="коп.23" sheetId="12" r:id="rId10"/>
    <sheet name="коп.25" sheetId="13" r:id="rId11"/>
    <sheet name="лин.23" sheetId="15" r:id="rId12"/>
    <sheet name="лин.30" sheetId="18" r:id="rId13"/>
    <sheet name="маг.4" sheetId="19" r:id="rId14"/>
    <sheet name="маг.6" sheetId="20" r:id="rId15"/>
    <sheet name="мар.рас.16" sheetId="21" r:id="rId16"/>
    <sheet name="мар.рас.22" sheetId="22" r:id="rId17"/>
    <sheet name="перс.1" sheetId="23" r:id="rId18"/>
    <sheet name="перс.3" sheetId="24" r:id="rId19"/>
    <sheet name="фест.4" sheetId="25" r:id="rId20"/>
    <sheet name="фест.8" sheetId="26" r:id="rId21"/>
    <sheet name="фест.10" sheetId="27" r:id="rId22"/>
  </sheets>
  <calcPr calcId="124519" refMode="R1C1"/>
</workbook>
</file>

<file path=xl/calcChain.xml><?xml version="1.0" encoding="utf-8"?>
<calcChain xmlns="http://schemas.openxmlformats.org/spreadsheetml/2006/main">
  <c r="F24" i="1"/>
  <c r="G18" i="7"/>
  <c r="G17"/>
  <c r="G16"/>
  <c r="G17" i="6" l="1"/>
  <c r="G17" i="4"/>
  <c r="G16"/>
  <c r="G17" i="3"/>
  <c r="G16"/>
  <c r="G18" i="2" l="1"/>
  <c r="G18" i="1"/>
  <c r="G37" i="27" l="1"/>
  <c r="E37"/>
  <c r="G38" i="26"/>
  <c r="E38"/>
  <c r="G38" i="25"/>
  <c r="E38"/>
  <c r="G38" i="22"/>
  <c r="E38"/>
  <c r="G37" i="21"/>
  <c r="E37"/>
  <c r="G39" i="20"/>
  <c r="E39"/>
  <c r="G40" i="19"/>
  <c r="E40"/>
  <c r="G38" i="18"/>
  <c r="E38"/>
  <c r="G38" i="15"/>
  <c r="E38"/>
  <c r="G39" i="13"/>
  <c r="E39"/>
  <c r="G39" i="12"/>
  <c r="E39"/>
  <c r="G39" i="9"/>
  <c r="E39"/>
  <c r="G39" i="8"/>
  <c r="E39"/>
  <c r="G38" i="7"/>
  <c r="E38"/>
  <c r="G38" i="6"/>
  <c r="E38"/>
  <c r="E34" i="5"/>
  <c r="G39"/>
  <c r="E39"/>
  <c r="G39" i="4"/>
  <c r="E39"/>
  <c r="G39" i="3"/>
  <c r="E39"/>
  <c r="G38" i="2"/>
  <c r="E38"/>
  <c r="G38" i="1" l="1"/>
  <c r="E38"/>
  <c r="G41" i="23" l="1"/>
  <c r="G41" i="24"/>
  <c r="G40"/>
  <c r="E40"/>
  <c r="G40" i="23"/>
  <c r="E40"/>
  <c r="E41" i="5" l="1"/>
  <c r="E41" i="4"/>
  <c r="E41" i="3"/>
  <c r="E41" i="8"/>
  <c r="E41" i="20" l="1"/>
  <c r="E42" i="19"/>
  <c r="E41" i="13"/>
  <c r="E41" i="12"/>
  <c r="E41" i="9"/>
  <c r="G40" i="3" l="1"/>
  <c r="N25" i="24"/>
  <c r="N25" i="23"/>
  <c r="N22" i="27"/>
  <c r="N23" i="26"/>
  <c r="N23" i="25"/>
  <c r="N23" i="22"/>
  <c r="N22" i="21"/>
  <c r="N24" i="20"/>
  <c r="N24" i="19"/>
  <c r="N23" i="18"/>
  <c r="N23" i="15"/>
  <c r="N24" i="13"/>
  <c r="N24" i="12"/>
  <c r="N24" i="9"/>
  <c r="N24" i="8"/>
  <c r="N23" i="7"/>
  <c r="N23" i="6"/>
  <c r="N24" i="5"/>
  <c r="N24" i="4"/>
  <c r="N24" i="3"/>
  <c r="N23" i="2"/>
  <c r="N23" i="1"/>
  <c r="G38" i="27" l="1"/>
  <c r="G40" i="20" l="1"/>
  <c r="G38"/>
  <c r="G41" i="19"/>
  <c r="G39"/>
  <c r="G38" i="4" l="1"/>
  <c r="G41" i="20"/>
  <c r="G42" i="19"/>
  <c r="G39" i="15"/>
  <c r="G37"/>
  <c r="G39" i="27" l="1"/>
  <c r="G36"/>
  <c r="G18"/>
  <c r="E18"/>
  <c r="G39" i="26"/>
  <c r="G40" s="1"/>
  <c r="G37"/>
  <c r="G19"/>
  <c r="E19"/>
  <c r="G39" i="25"/>
  <c r="G40" s="1"/>
  <c r="G37"/>
  <c r="G19"/>
  <c r="E19"/>
  <c r="G39" i="22"/>
  <c r="G40" s="1"/>
  <c r="G37"/>
  <c r="G19"/>
  <c r="E19"/>
  <c r="G38" i="21"/>
  <c r="G39" s="1"/>
  <c r="G36"/>
  <c r="G18"/>
  <c r="E18"/>
  <c r="G20" i="20"/>
  <c r="E20"/>
  <c r="C42" i="19"/>
  <c r="C40"/>
  <c r="G20"/>
  <c r="E20"/>
  <c r="G39" i="18"/>
  <c r="G40" s="1"/>
  <c r="G37"/>
  <c r="G19"/>
  <c r="E19"/>
  <c r="C18" i="27" l="1"/>
  <c r="C37"/>
  <c r="C19" i="26"/>
  <c r="C38"/>
  <c r="C19" i="25"/>
  <c r="C38"/>
  <c r="C19" i="22"/>
  <c r="C38"/>
  <c r="C18" i="21"/>
  <c r="C37"/>
  <c r="G42" i="20"/>
  <c r="C39"/>
  <c r="C41"/>
  <c r="G43" i="19"/>
  <c r="C20"/>
  <c r="C19" i="18"/>
  <c r="C38"/>
  <c r="C20" i="20"/>
  <c r="G19" i="15" l="1"/>
  <c r="E19"/>
  <c r="G41" i="13"/>
  <c r="G40"/>
  <c r="G42" s="1"/>
  <c r="G38"/>
  <c r="G42" i="24"/>
  <c r="G39"/>
  <c r="G21"/>
  <c r="E21"/>
  <c r="G39" i="23"/>
  <c r="C38" i="15" l="1"/>
  <c r="G40"/>
  <c r="C19"/>
  <c r="C41" i="13"/>
  <c r="C39"/>
  <c r="C40" i="24"/>
  <c r="C21"/>
  <c r="C40" i="23"/>
  <c r="G42"/>
  <c r="G21" l="1"/>
  <c r="E21"/>
  <c r="G20" i="13"/>
  <c r="E20"/>
  <c r="G41" i="12"/>
  <c r="G40"/>
  <c r="G38"/>
  <c r="G20"/>
  <c r="E20"/>
  <c r="G41" i="9"/>
  <c r="G40"/>
  <c r="G38"/>
  <c r="G20"/>
  <c r="E20"/>
  <c r="G41" i="8"/>
  <c r="G40"/>
  <c r="G38"/>
  <c r="G20"/>
  <c r="E20"/>
  <c r="G39" i="7"/>
  <c r="G37"/>
  <c r="G19"/>
  <c r="E19"/>
  <c r="G39" i="6"/>
  <c r="G37"/>
  <c r="G19"/>
  <c r="E19"/>
  <c r="G41" i="5"/>
  <c r="G40"/>
  <c r="G38"/>
  <c r="G20"/>
  <c r="E20"/>
  <c r="G41" i="4"/>
  <c r="G40"/>
  <c r="G20"/>
  <c r="E20"/>
  <c r="G41" i="3"/>
  <c r="G38"/>
  <c r="G20"/>
  <c r="E20"/>
  <c r="G39" i="2"/>
  <c r="G37"/>
  <c r="G19"/>
  <c r="E19"/>
  <c r="G39" i="1"/>
  <c r="G37"/>
  <c r="G19"/>
  <c r="E19"/>
  <c r="C20" i="12" l="1"/>
  <c r="C41"/>
  <c r="G42"/>
  <c r="C20" i="9"/>
  <c r="C41" i="8"/>
  <c r="C38" i="7"/>
  <c r="C19"/>
  <c r="C19" i="6"/>
  <c r="C38"/>
  <c r="C39" i="5"/>
  <c r="C20"/>
  <c r="C41" i="4"/>
  <c r="G42"/>
  <c r="C39"/>
  <c r="C41" i="3"/>
  <c r="C20"/>
  <c r="C39"/>
  <c r="C21" i="23"/>
  <c r="C20" i="13"/>
  <c r="C41" i="5"/>
  <c r="C20" i="8"/>
  <c r="C38" i="2"/>
  <c r="G42" i="3"/>
  <c r="C20" i="4"/>
  <c r="C39" i="12"/>
  <c r="C41" i="9"/>
  <c r="G42"/>
  <c r="G42" i="8"/>
  <c r="G42" i="5"/>
  <c r="C19" i="2"/>
  <c r="C38" i="1"/>
  <c r="C39" i="9"/>
  <c r="C39" i="8"/>
  <c r="G40" i="7"/>
  <c r="G40" i="6"/>
  <c r="G40" i="2"/>
  <c r="G40" i="1"/>
  <c r="C19"/>
  <c r="H30" i="27" l="1"/>
  <c r="H31" i="26"/>
  <c r="H31" i="25"/>
  <c r="H33" i="24"/>
  <c r="H33" i="23"/>
  <c r="H31" i="22" l="1"/>
  <c r="H30" i="21"/>
  <c r="H32" i="20"/>
  <c r="H32" i="19" l="1"/>
  <c r="H31" i="18"/>
  <c r="H31" i="15"/>
  <c r="H32" i="13"/>
  <c r="H32" i="12"/>
  <c r="H32" i="9"/>
  <c r="H32" i="8"/>
  <c r="H31" i="7" l="1"/>
  <c r="H31" i="6"/>
  <c r="H32" i="5"/>
  <c r="H32" i="4"/>
  <c r="H32" i="3"/>
  <c r="H31" i="2"/>
  <c r="H31" i="1" l="1"/>
  <c r="E32" i="27" l="1"/>
  <c r="E33" i="26"/>
  <c r="E33" i="25"/>
  <c r="E33" i="22"/>
  <c r="E32" i="21"/>
  <c r="E34" i="20"/>
  <c r="E33" i="18"/>
  <c r="E33" i="15"/>
  <c r="E34" i="13"/>
  <c r="E34" i="12"/>
  <c r="M25" l="1"/>
  <c r="F28" s="1"/>
  <c r="N25"/>
  <c r="G28" s="1"/>
  <c r="N24" i="22"/>
  <c r="G27" s="1"/>
  <c r="M24"/>
  <c r="N25" i="13"/>
  <c r="G28" s="1"/>
  <c r="M25"/>
  <c r="F28" s="1"/>
  <c r="M24" i="18"/>
  <c r="F27" s="1"/>
  <c r="N24"/>
  <c r="G27" s="1"/>
  <c r="N24" i="25"/>
  <c r="G27" s="1"/>
  <c r="M24"/>
  <c r="F27" s="1"/>
  <c r="M25" i="20"/>
  <c r="N25"/>
  <c r="N24" i="26"/>
  <c r="G27" s="1"/>
  <c r="M24"/>
  <c r="F27" s="1"/>
  <c r="M24" i="15"/>
  <c r="N24"/>
  <c r="G27" s="1"/>
  <c r="N23" i="21"/>
  <c r="G26" s="1"/>
  <c r="M23"/>
  <c r="F26" s="1"/>
  <c r="M23" i="27"/>
  <c r="F26" s="1"/>
  <c r="N23"/>
  <c r="G26" s="1"/>
  <c r="E34" i="9"/>
  <c r="E34" i="8"/>
  <c r="E33" i="7"/>
  <c r="E33" i="6"/>
  <c r="M25" i="5"/>
  <c r="F33" s="1"/>
  <c r="E34" i="4"/>
  <c r="E34" i="3"/>
  <c r="E33" i="2"/>
  <c r="E33" i="1"/>
  <c r="F27" i="15" l="1"/>
  <c r="F32"/>
  <c r="F27" i="22"/>
  <c r="F32"/>
  <c r="M25" i="4"/>
  <c r="N25"/>
  <c r="N25" i="8"/>
  <c r="G28" s="1"/>
  <c r="M25"/>
  <c r="F28" s="1"/>
  <c r="M24" i="1"/>
  <c r="N24"/>
  <c r="M25" i="9"/>
  <c r="F28" s="1"/>
  <c r="N25"/>
  <c r="G28" s="1"/>
  <c r="N25" i="5"/>
  <c r="N24" i="2"/>
  <c r="G27" s="1"/>
  <c r="M24"/>
  <c r="F27" s="1"/>
  <c r="M24" i="6"/>
  <c r="F27" s="1"/>
  <c r="N24"/>
  <c r="G27" s="1"/>
  <c r="N25" i="3"/>
  <c r="M25"/>
  <c r="N24" i="7"/>
  <c r="G27" s="1"/>
  <c r="M24"/>
  <c r="F27" s="1"/>
  <c r="F30" i="22"/>
  <c r="F28"/>
  <c r="F26"/>
  <c r="F24"/>
  <c r="F29"/>
  <c r="F25"/>
  <c r="G31" i="27"/>
  <c r="G28"/>
  <c r="G24"/>
  <c r="G27"/>
  <c r="G23"/>
  <c r="G29"/>
  <c r="G25"/>
  <c r="G32" i="25"/>
  <c r="G29"/>
  <c r="G25"/>
  <c r="G30"/>
  <c r="G28"/>
  <c r="G26"/>
  <c r="G24"/>
  <c r="G32" i="22"/>
  <c r="G29"/>
  <c r="G25"/>
  <c r="G30"/>
  <c r="G28"/>
  <c r="G26"/>
  <c r="G24"/>
  <c r="F29" i="27"/>
  <c r="F27"/>
  <c r="F25"/>
  <c r="F23"/>
  <c r="F31"/>
  <c r="F28"/>
  <c r="H26"/>
  <c r="F24"/>
  <c r="F30" i="25"/>
  <c r="H30" s="1"/>
  <c r="F28"/>
  <c r="F26"/>
  <c r="F24"/>
  <c r="F32"/>
  <c r="F29"/>
  <c r="H27"/>
  <c r="F25"/>
  <c r="F29" i="21"/>
  <c r="F27"/>
  <c r="F25"/>
  <c r="F23"/>
  <c r="F31"/>
  <c r="F28"/>
  <c r="F24"/>
  <c r="G31" i="13"/>
  <c r="G29"/>
  <c r="G27"/>
  <c r="G25"/>
  <c r="G33"/>
  <c r="G30"/>
  <c r="G26"/>
  <c r="F30" i="26"/>
  <c r="F28"/>
  <c r="F26"/>
  <c r="F24"/>
  <c r="F32"/>
  <c r="F29"/>
  <c r="F25"/>
  <c r="G31" i="21"/>
  <c r="G28"/>
  <c r="G24"/>
  <c r="G29"/>
  <c r="H29" s="1"/>
  <c r="G27"/>
  <c r="G25"/>
  <c r="G23"/>
  <c r="F31" i="13"/>
  <c r="F29"/>
  <c r="F27"/>
  <c r="F25"/>
  <c r="F33"/>
  <c r="F30"/>
  <c r="H28"/>
  <c r="F26"/>
  <c r="G32" i="26"/>
  <c r="G29"/>
  <c r="G25"/>
  <c r="G30"/>
  <c r="G28"/>
  <c r="G26"/>
  <c r="G24"/>
  <c r="F30" i="18"/>
  <c r="F29"/>
  <c r="F28"/>
  <c r="F26"/>
  <c r="F25"/>
  <c r="F24"/>
  <c r="F32"/>
  <c r="G30"/>
  <c r="G32"/>
  <c r="G29"/>
  <c r="G28"/>
  <c r="G26"/>
  <c r="G25"/>
  <c r="G24"/>
  <c r="F33" i="20"/>
  <c r="F31"/>
  <c r="F30"/>
  <c r="F29"/>
  <c r="G33"/>
  <c r="G31"/>
  <c r="G30"/>
  <c r="G29"/>
  <c r="G32" i="15"/>
  <c r="G30"/>
  <c r="G29"/>
  <c r="G28"/>
  <c r="G26"/>
  <c r="G25"/>
  <c r="G24"/>
  <c r="F30"/>
  <c r="F29"/>
  <c r="F28"/>
  <c r="F26"/>
  <c r="F25"/>
  <c r="F24"/>
  <c r="G28" i="20"/>
  <c r="G27"/>
  <c r="G26"/>
  <c r="G25"/>
  <c r="F28"/>
  <c r="F27"/>
  <c r="F26"/>
  <c r="F25"/>
  <c r="G30" i="12"/>
  <c r="G31"/>
  <c r="G29"/>
  <c r="G27"/>
  <c r="G25"/>
  <c r="G33"/>
  <c r="G26"/>
  <c r="F31"/>
  <c r="F29"/>
  <c r="F27"/>
  <c r="F25"/>
  <c r="F30"/>
  <c r="F33"/>
  <c r="F26"/>
  <c r="H32" i="25"/>
  <c r="H25" i="27"/>
  <c r="F33" i="8"/>
  <c r="H31" i="27" l="1"/>
  <c r="H25" i="25"/>
  <c r="E40" i="20"/>
  <c r="H28" i="15"/>
  <c r="H28" i="27"/>
  <c r="H30" i="20"/>
  <c r="H24" i="27"/>
  <c r="H29" i="26"/>
  <c r="H26"/>
  <c r="H28"/>
  <c r="H27" i="27"/>
  <c r="H28" i="25"/>
  <c r="H27" i="21"/>
  <c r="H31"/>
  <c r="H27" i="20"/>
  <c r="H24" i="15"/>
  <c r="H25"/>
  <c r="H30"/>
  <c r="H33" i="13"/>
  <c r="H27"/>
  <c r="H33" i="12"/>
  <c r="H29" i="15"/>
  <c r="H24" i="25"/>
  <c r="H29"/>
  <c r="H29" i="27"/>
  <c r="H26" i="20"/>
  <c r="E38"/>
  <c r="C38" s="1"/>
  <c r="H33"/>
  <c r="H29"/>
  <c r="H30" i="26"/>
  <c r="H25"/>
  <c r="H24"/>
  <c r="F33" i="25"/>
  <c r="E39"/>
  <c r="E39" i="22"/>
  <c r="H30" i="18"/>
  <c r="H26" i="15"/>
  <c r="E38" i="12"/>
  <c r="C38" s="1"/>
  <c r="E39" i="18"/>
  <c r="C39" s="1"/>
  <c r="E39" i="26"/>
  <c r="E36" i="21"/>
  <c r="C36" s="1"/>
  <c r="E37" i="18"/>
  <c r="C37" s="1"/>
  <c r="E38" i="27"/>
  <c r="H31" i="12"/>
  <c r="H23" i="27"/>
  <c r="E36"/>
  <c r="C36" s="1"/>
  <c r="F32"/>
  <c r="E37" i="26"/>
  <c r="C37" s="1"/>
  <c r="E37" i="25"/>
  <c r="C37" s="1"/>
  <c r="E37" i="22"/>
  <c r="C37" s="1"/>
  <c r="G32" i="21"/>
  <c r="E38"/>
  <c r="H28"/>
  <c r="H25"/>
  <c r="H31" i="20"/>
  <c r="H24" i="18"/>
  <c r="H26"/>
  <c r="G33"/>
  <c r="H28"/>
  <c r="E39" i="15"/>
  <c r="H32"/>
  <c r="E37"/>
  <c r="C37" s="1"/>
  <c r="G33"/>
  <c r="E38" i="13"/>
  <c r="C38" s="1"/>
  <c r="E40"/>
  <c r="E40" i="12"/>
  <c r="C40" s="1"/>
  <c r="H26"/>
  <c r="H30"/>
  <c r="H25" i="18"/>
  <c r="G32" i="27"/>
  <c r="H32" i="18"/>
  <c r="H27"/>
  <c r="H29"/>
  <c r="F33"/>
  <c r="G34" i="12"/>
  <c r="H27"/>
  <c r="F33" i="26"/>
  <c r="H32"/>
  <c r="H29" i="22"/>
  <c r="H28"/>
  <c r="H32"/>
  <c r="H23" i="21"/>
  <c r="H25" i="20"/>
  <c r="H30" i="13"/>
  <c r="H26"/>
  <c r="G29" i="5"/>
  <c r="G33"/>
  <c r="G30"/>
  <c r="G28"/>
  <c r="G26"/>
  <c r="G31"/>
  <c r="G27"/>
  <c r="G25"/>
  <c r="F33" i="3"/>
  <c r="F30"/>
  <c r="F28"/>
  <c r="F31"/>
  <c r="F27"/>
  <c r="F29"/>
  <c r="G30" i="1"/>
  <c r="G24"/>
  <c r="G32"/>
  <c r="G29"/>
  <c r="G27"/>
  <c r="G25"/>
  <c r="G28"/>
  <c r="G26"/>
  <c r="F30" i="5"/>
  <c r="F28"/>
  <c r="F26"/>
  <c r="F31"/>
  <c r="F27"/>
  <c r="F29"/>
  <c r="F25"/>
  <c r="G30" i="2"/>
  <c r="G26"/>
  <c r="G32"/>
  <c r="G29"/>
  <c r="G25"/>
  <c r="G28"/>
  <c r="G24"/>
  <c r="G28" i="6"/>
  <c r="G24"/>
  <c r="G32"/>
  <c r="G29"/>
  <c r="G25"/>
  <c r="G30"/>
  <c r="G26"/>
  <c r="G29" i="9"/>
  <c r="G33"/>
  <c r="G30"/>
  <c r="G26"/>
  <c r="G31"/>
  <c r="G27"/>
  <c r="G25"/>
  <c r="G34" i="20"/>
  <c r="F34"/>
  <c r="H27" i="26"/>
  <c r="H31" i="13"/>
  <c r="F34"/>
  <c r="H27" i="22"/>
  <c r="H26"/>
  <c r="G31" i="4"/>
  <c r="G27"/>
  <c r="G33"/>
  <c r="G30"/>
  <c r="G28"/>
  <c r="G26"/>
  <c r="G29"/>
  <c r="G25"/>
  <c r="G31" i="8"/>
  <c r="G27"/>
  <c r="G33"/>
  <c r="H33" s="1"/>
  <c r="G30"/>
  <c r="G26"/>
  <c r="G29"/>
  <c r="G25"/>
  <c r="F33" i="4"/>
  <c r="F30"/>
  <c r="F28"/>
  <c r="F26"/>
  <c r="F31"/>
  <c r="F27"/>
  <c r="H27" s="1"/>
  <c r="F29"/>
  <c r="F25"/>
  <c r="F30" i="8"/>
  <c r="F26"/>
  <c r="F31"/>
  <c r="F27"/>
  <c r="F29"/>
  <c r="F25"/>
  <c r="G33" i="22"/>
  <c r="G31" i="3"/>
  <c r="G33"/>
  <c r="G30"/>
  <c r="G28"/>
  <c r="H28" s="1"/>
  <c r="G29"/>
  <c r="H29" s="1"/>
  <c r="G27"/>
  <c r="H27" s="1"/>
  <c r="F32" i="1"/>
  <c r="F29"/>
  <c r="F27"/>
  <c r="F25"/>
  <c r="F28"/>
  <c r="F30"/>
  <c r="F26"/>
  <c r="G28" i="7"/>
  <c r="G24"/>
  <c r="G32"/>
  <c r="G29"/>
  <c r="G25"/>
  <c r="G30"/>
  <c r="G26"/>
  <c r="F32" i="2"/>
  <c r="F29"/>
  <c r="H29" s="1"/>
  <c r="H27"/>
  <c r="F25"/>
  <c r="F28"/>
  <c r="H28" s="1"/>
  <c r="F24"/>
  <c r="F30"/>
  <c r="F26"/>
  <c r="F32" i="6"/>
  <c r="H32" s="1"/>
  <c r="F29"/>
  <c r="F25"/>
  <c r="F30"/>
  <c r="F26"/>
  <c r="H26" s="1"/>
  <c r="F28"/>
  <c r="F24"/>
  <c r="F32" i="7"/>
  <c r="F29"/>
  <c r="F25"/>
  <c r="F30"/>
  <c r="F26"/>
  <c r="F28"/>
  <c r="F24"/>
  <c r="F33" i="9"/>
  <c r="F30"/>
  <c r="F26"/>
  <c r="F31"/>
  <c r="F27"/>
  <c r="F29"/>
  <c r="H29" s="1"/>
  <c r="F25"/>
  <c r="H24" i="22"/>
  <c r="F33"/>
  <c r="H30"/>
  <c r="G33" i="25"/>
  <c r="H26" i="21"/>
  <c r="G34" i="13"/>
  <c r="F33" i="15"/>
  <c r="F32" i="21"/>
  <c r="G33" i="26"/>
  <c r="H24" i="21"/>
  <c r="H25" i="13"/>
  <c r="H26" i="25"/>
  <c r="H28" i="20"/>
  <c r="H27" i="15"/>
  <c r="H29" i="13"/>
  <c r="H25" i="22"/>
  <c r="H29" i="12"/>
  <c r="H28"/>
  <c r="H29" i="8"/>
  <c r="G26" i="3"/>
  <c r="G25"/>
  <c r="F26"/>
  <c r="F25"/>
  <c r="H25" i="12"/>
  <c r="F34"/>
  <c r="H32" i="27" l="1"/>
  <c r="H33" i="25"/>
  <c r="H25" i="5"/>
  <c r="H31" i="4"/>
  <c r="H30" i="2"/>
  <c r="H32" i="1"/>
  <c r="H29"/>
  <c r="H29" i="4"/>
  <c r="H34" i="20"/>
  <c r="H33" i="15"/>
  <c r="H29" i="6"/>
  <c r="H29" i="5"/>
  <c r="E38" i="3"/>
  <c r="C38" s="1"/>
  <c r="H28" i="5"/>
  <c r="H28" i="9"/>
  <c r="E40" i="3"/>
  <c r="C40" s="1"/>
  <c r="H26" i="1"/>
  <c r="H26" i="3"/>
  <c r="E37" i="6"/>
  <c r="C37" s="1"/>
  <c r="E37" i="2"/>
  <c r="C37" s="1"/>
  <c r="E38" i="4"/>
  <c r="C38" s="1"/>
  <c r="H26"/>
  <c r="E38" i="5"/>
  <c r="E40" i="18"/>
  <c r="C40" s="1"/>
  <c r="E40" i="9"/>
  <c r="C40" s="1"/>
  <c r="E38"/>
  <c r="C38" s="1"/>
  <c r="G34"/>
  <c r="E40" i="8"/>
  <c r="E42" s="1"/>
  <c r="C42" s="1"/>
  <c r="E38"/>
  <c r="C38" s="1"/>
  <c r="H27"/>
  <c r="H31"/>
  <c r="H30"/>
  <c r="E39" i="7"/>
  <c r="E40" s="1"/>
  <c r="C40" s="1"/>
  <c r="E37"/>
  <c r="C37" s="1"/>
  <c r="H27"/>
  <c r="H30"/>
  <c r="E39" i="6"/>
  <c r="C39" s="1"/>
  <c r="H28"/>
  <c r="H27"/>
  <c r="E40" i="5"/>
  <c r="C40" s="1"/>
  <c r="H31"/>
  <c r="H33"/>
  <c r="H27"/>
  <c r="G34"/>
  <c r="E40" i="4"/>
  <c r="E42" s="1"/>
  <c r="C42" s="1"/>
  <c r="H33"/>
  <c r="H28"/>
  <c r="H31" i="3"/>
  <c r="E39" i="2"/>
  <c r="C39" s="1"/>
  <c r="H30" i="1"/>
  <c r="H27"/>
  <c r="E39"/>
  <c r="C39" s="1"/>
  <c r="E37"/>
  <c r="C37" s="1"/>
  <c r="H24"/>
  <c r="C38" i="21"/>
  <c r="E39"/>
  <c r="C39" s="1"/>
  <c r="F34" i="9"/>
  <c r="H25" i="7"/>
  <c r="H24" i="6"/>
  <c r="H25"/>
  <c r="H26" i="2"/>
  <c r="H25"/>
  <c r="H28" i="8"/>
  <c r="H33" i="18"/>
  <c r="E39" i="27"/>
  <c r="C39" s="1"/>
  <c r="C38"/>
  <c r="E40" i="25"/>
  <c r="C40" s="1"/>
  <c r="C39"/>
  <c r="H31" i="9"/>
  <c r="H25" i="8"/>
  <c r="H26"/>
  <c r="H33" i="26"/>
  <c r="G33" i="2"/>
  <c r="H26" i="5"/>
  <c r="E40" i="22"/>
  <c r="C40" s="1"/>
  <c r="C39"/>
  <c r="C40" i="13"/>
  <c r="E42"/>
  <c r="C42" s="1"/>
  <c r="E40" i="26"/>
  <c r="C40" s="1"/>
  <c r="C39"/>
  <c r="H24" i="7"/>
  <c r="H25" i="1"/>
  <c r="C40" i="20"/>
  <c r="E42"/>
  <c r="C42" s="1"/>
  <c r="C39" i="15"/>
  <c r="E40"/>
  <c r="C40" s="1"/>
  <c r="H27" i="9"/>
  <c r="H30"/>
  <c r="H32" i="7"/>
  <c r="H28"/>
  <c r="G33"/>
  <c r="H29"/>
  <c r="H30" i="6"/>
  <c r="H30" i="5"/>
  <c r="H30" i="4"/>
  <c r="H33" i="3"/>
  <c r="G34"/>
  <c r="H30"/>
  <c r="H32" i="21"/>
  <c r="G34" i="8"/>
  <c r="H34" i="12"/>
  <c r="H34" i="13"/>
  <c r="H33" i="22"/>
  <c r="G33" i="1"/>
  <c r="G33" i="6"/>
  <c r="G34" i="4"/>
  <c r="H28" i="1"/>
  <c r="E42" i="12"/>
  <c r="C42" s="1"/>
  <c r="H25" i="9"/>
  <c r="H26"/>
  <c r="H33"/>
  <c r="F34" i="8"/>
  <c r="F33" i="7"/>
  <c r="H26"/>
  <c r="C38" i="5"/>
  <c r="F34"/>
  <c r="C39" i="7"/>
  <c r="F33" i="6"/>
  <c r="F34" i="4"/>
  <c r="H25"/>
  <c r="H24" i="2"/>
  <c r="F33"/>
  <c r="H32"/>
  <c r="F33" i="1"/>
  <c r="F34" i="3"/>
  <c r="H25"/>
  <c r="H34" l="1"/>
  <c r="E42" i="9"/>
  <c r="C42" s="1"/>
  <c r="C40" i="8"/>
  <c r="H34"/>
  <c r="H33" i="6"/>
  <c r="H34" i="5"/>
  <c r="C40" i="4"/>
  <c r="E40" i="2"/>
  <c r="C40" s="1"/>
  <c r="E40" i="6"/>
  <c r="C40" s="1"/>
  <c r="H34" i="4"/>
  <c r="E42" i="5"/>
  <c r="C42" s="1"/>
  <c r="H33" i="1"/>
  <c r="H33" i="7"/>
  <c r="E40" i="1"/>
  <c r="C40" s="1"/>
  <c r="H34" i="9"/>
  <c r="E42" i="3"/>
  <c r="C42" s="1"/>
  <c r="H33" i="2"/>
  <c r="E35" i="24"/>
  <c r="E35" i="23"/>
  <c r="E35" i="19"/>
  <c r="M26" i="23" l="1"/>
  <c r="F29" s="1"/>
  <c r="N26"/>
  <c r="G29" s="1"/>
  <c r="N26" i="24"/>
  <c r="M26"/>
  <c r="N25" i="19"/>
  <c r="G33" s="1"/>
  <c r="M25"/>
  <c r="F33" s="1"/>
  <c r="F34" i="23"/>
  <c r="F32"/>
  <c r="F30"/>
  <c r="F31"/>
  <c r="F27"/>
  <c r="F28"/>
  <c r="F26"/>
  <c r="E39" l="1"/>
  <c r="G34"/>
  <c r="G32"/>
  <c r="G30"/>
  <c r="G28"/>
  <c r="H28" s="1"/>
  <c r="G26"/>
  <c r="G31"/>
  <c r="H31" s="1"/>
  <c r="G27"/>
  <c r="H27" s="1"/>
  <c r="G34" i="19"/>
  <c r="G31"/>
  <c r="G30"/>
  <c r="G29"/>
  <c r="G28"/>
  <c r="G27"/>
  <c r="G26"/>
  <c r="G25"/>
  <c r="F31"/>
  <c r="F30"/>
  <c r="F29"/>
  <c r="F28"/>
  <c r="F27"/>
  <c r="F26"/>
  <c r="F25"/>
  <c r="F34"/>
  <c r="F34" i="24"/>
  <c r="F32"/>
  <c r="F31"/>
  <c r="F30"/>
  <c r="F29"/>
  <c r="F28"/>
  <c r="F27"/>
  <c r="F26"/>
  <c r="G34"/>
  <c r="G32"/>
  <c r="G31"/>
  <c r="G30"/>
  <c r="G29"/>
  <c r="G28"/>
  <c r="G27"/>
  <c r="G26"/>
  <c r="H28" l="1"/>
  <c r="E41" i="19"/>
  <c r="E43" s="1"/>
  <c r="C43" s="1"/>
  <c r="E41" i="24"/>
  <c r="E42" s="1"/>
  <c r="C42" s="1"/>
  <c r="E39"/>
  <c r="C39" s="1"/>
  <c r="H30"/>
  <c r="H27"/>
  <c r="E41" i="23"/>
  <c r="E39" i="19"/>
  <c r="C39" s="1"/>
  <c r="H29" i="24"/>
  <c r="H34"/>
  <c r="H29" i="23"/>
  <c r="H26"/>
  <c r="C39"/>
  <c r="H32"/>
  <c r="H30"/>
  <c r="G35" i="24"/>
  <c r="H26"/>
  <c r="F35"/>
  <c r="F35" i="19"/>
  <c r="F35" i="23"/>
  <c r="G35"/>
  <c r="H34"/>
  <c r="H31" i="24"/>
  <c r="H32"/>
  <c r="C41" l="1"/>
  <c r="C41" i="19"/>
  <c r="H35" i="23"/>
  <c r="C41"/>
  <c r="E42"/>
  <c r="C42" s="1"/>
  <c r="H35" i="24"/>
  <c r="H34" i="19"/>
  <c r="H26"/>
  <c r="H33"/>
  <c r="H29"/>
  <c r="H27"/>
  <c r="H30"/>
  <c r="H28"/>
  <c r="H25"/>
  <c r="H31"/>
  <c r="G35" l="1"/>
  <c r="H35" l="1"/>
</calcChain>
</file>

<file path=xl/sharedStrings.xml><?xml version="1.0" encoding="utf-8"?>
<sst xmlns="http://schemas.openxmlformats.org/spreadsheetml/2006/main" count="1875" uniqueCount="159">
  <si>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</si>
  <si>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</si>
  <si>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</si>
  <si>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</si>
  <si>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</si>
  <si>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</si>
  <si>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</si>
  <si>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</si>
  <si>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</si>
  <si>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2154 кв. м. - грунт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</si>
  <si>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</si>
  <si>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</si>
  <si>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</si>
  <si>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</si>
  <si>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Войкова 64</t>
  </si>
  <si>
    <t>620,3 кв. м.</t>
  </si>
  <si>
    <t>Войкова 66</t>
  </si>
  <si>
    <t>Коперника 3</t>
  </si>
  <si>
    <t>945,6 кв. м.</t>
  </si>
  <si>
    <t>291,3 кв. м. - грунт;
551,3 кв. м. - асфальт</t>
  </si>
  <si>
    <t>Коперника 5</t>
  </si>
  <si>
    <t>913,6 кв. м.</t>
  </si>
  <si>
    <t>1247,1 кв. м. - грунт;
633,5 кв. м. - асфальт</t>
  </si>
  <si>
    <t>Коперника 7</t>
  </si>
  <si>
    <t>894,9 кв. м.</t>
  </si>
  <si>
    <t>1473,2 кв. м. - грунт;
623 кв. м. - асфальт</t>
  </si>
  <si>
    <t>Коперника 8</t>
  </si>
  <si>
    <t>1657,2 кв. м.</t>
  </si>
  <si>
    <t>1716 кв. м. - грунт;
576,09 кв. м. - асфальт</t>
  </si>
  <si>
    <t>Коперника 10</t>
  </si>
  <si>
    <t>1574,9 кв. м.</t>
  </si>
  <si>
    <t>2150,1 кв. м. - грунт;
524 кв. м. - асфальт</t>
  </si>
  <si>
    <t>Коперника 15</t>
  </si>
  <si>
    <t>591 кв. м.</t>
  </si>
  <si>
    <t>110 кв. м. - грунт;
112 кв. м. - асфальт</t>
  </si>
  <si>
    <t>Коперника 17</t>
  </si>
  <si>
    <t>570,9 кв. м.</t>
  </si>
  <si>
    <t>110 кв. м. - грунт;
176,2 кв. м. - асфальт</t>
  </si>
  <si>
    <t>Коперника 23</t>
  </si>
  <si>
    <t>567,4 кв. м.</t>
  </si>
  <si>
    <t>110 кв. м. - грунт;
345 кв. м. - асфальт</t>
  </si>
  <si>
    <t>Коперника 25</t>
  </si>
  <si>
    <t>568,4 кв. м.</t>
  </si>
  <si>
    <t>110 кв. м. - грунт;
216,3 кв. м. - асфальт</t>
  </si>
  <si>
    <t>Линейная 23</t>
  </si>
  <si>
    <t>452,9 кв. м.</t>
  </si>
  <si>
    <t>110 кв. м. - грунт;
92 кв. м. - асфальт</t>
  </si>
  <si>
    <t>Линейная 30</t>
  </si>
  <si>
    <t>686,4 кв. м.</t>
  </si>
  <si>
    <t>110 кв. м. - грунт;
324 кв. м. - асфальт</t>
  </si>
  <si>
    <t>Магистральная 4</t>
  </si>
  <si>
    <t>675,3 кв. м.</t>
  </si>
  <si>
    <t>110 кв. м. - грунт;
313,3 кв. м. - асфальт</t>
  </si>
  <si>
    <t>Магистральная 6</t>
  </si>
  <si>
    <t>617,1 кв. м.</t>
  </si>
  <si>
    <t>110 кв. м. - грунт;
296,3 кв. м. - асфальт</t>
  </si>
  <si>
    <t>Марины Расковой 16</t>
  </si>
  <si>
    <t>630,8 кв. м.</t>
  </si>
  <si>
    <t>110 кв. м. - грунт;
81,9 кв. м. - асфальт</t>
  </si>
  <si>
    <t>Марины Расковой 22</t>
  </si>
  <si>
    <t>630,3 кв. м.</t>
  </si>
  <si>
    <t>110 кв. м. - грунт;
131 кв. м. - асфальт</t>
  </si>
  <si>
    <t>Перспективная 1</t>
  </si>
  <si>
    <t>1795,6 кв. м.</t>
  </si>
  <si>
    <t>1455,1 кв. м. - грунт;
696,5 кв. м. - асфальт</t>
  </si>
  <si>
    <t>Перспективная 3</t>
  </si>
  <si>
    <t>1787,5 кв. м.</t>
  </si>
  <si>
    <t>2555,7 кв. м. - грунт;
697,4 кв. м. - асфальт</t>
  </si>
  <si>
    <t>Фестивальная 4</t>
  </si>
  <si>
    <t>640,2 кв. м.</t>
  </si>
  <si>
    <t>110 кв. м. - грунт;
224,8 кв. м. - асфальт</t>
  </si>
  <si>
    <t>Фестивальная 8</t>
  </si>
  <si>
    <t>661,7 кв. м.</t>
  </si>
  <si>
    <t>110 кв. м. - грунт;
451,3 кв. м. - асфальт</t>
  </si>
  <si>
    <t>Фестивальная 10</t>
  </si>
  <si>
    <t>663,4 кв. м.</t>
  </si>
  <si>
    <t>110 кв. м. - грунт;
327 кв. м. - асфальт</t>
  </si>
  <si>
    <t>850 кв. м.</t>
  </si>
  <si>
    <t>3.Выполнено</t>
  </si>
  <si>
    <t>Директор ООО "Партнер-1"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</si>
  <si>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</si>
  <si>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</si>
  <si>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</si>
  <si>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</si>
  <si>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</si>
  <si>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</si>
  <si>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</si>
  <si>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color theme="1"/>
        <rFont val="Times New Roman"/>
        <family val="1"/>
        <charset val="204"/>
      </rPr>
      <t>Услуги управляющей организации: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и т.д.</t>
    </r>
  </si>
  <si>
    <t>Рентабельность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</si>
  <si>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</si>
  <si>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</si>
  <si>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>Т. В. Павлова</t>
  </si>
  <si>
    <t>Виды работ и затрат</t>
  </si>
  <si>
    <t>периодичность выполнения работ и услуг</t>
  </si>
  <si>
    <t>единица измерения работы/       услуги</t>
  </si>
  <si>
    <t>стоимость выполненной работы/оказанной услуги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</si>
  <si>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</si>
  <si>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t>согласно договора  управления МКД</t>
  </si>
  <si>
    <t>руб.</t>
  </si>
  <si>
    <t>Техническое обслуживание внутридомового газового 
оборудования</t>
  </si>
  <si>
    <t xml:space="preserve">согласно договора  </t>
  </si>
  <si>
    <t>постоянно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</si>
  <si>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</si>
  <si>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 xml:space="preserve">Текущий ремонт </t>
  </si>
  <si>
    <t>начислено всего</t>
  </si>
  <si>
    <t>Обслуживание ОПУ тепловой энергии</t>
  </si>
  <si>
    <t>Приложение № 1</t>
  </si>
  <si>
    <t>Приложение № 4</t>
  </si>
  <si>
    <t>к протоколу №____общего собрания собственников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</si>
  <si>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</si>
  <si>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                                                                  - услуги банка, статистики;                                                                  - услуги информационно-вычислительного центра.</t>
    </r>
  </si>
  <si>
    <t>согласно договора  оказания услуг по содержанию и выполнению работ по ремонту общего имущества МКД</t>
  </si>
  <si>
    <t>круглосуточно</t>
  </si>
  <si>
    <t>Разница                       (+) экономия, (-) долг</t>
  </si>
  <si>
    <t>602,9 кв. м</t>
  </si>
  <si>
    <t>860,1 кв. м</t>
  </si>
  <si>
    <t>828,2 кв. м</t>
  </si>
  <si>
    <t>1541,3 кв. м</t>
  </si>
  <si>
    <t>1506,6 кв. м</t>
  </si>
  <si>
    <t>518,8 кв. м</t>
  </si>
  <si>
    <t>508,3 кв. м</t>
  </si>
  <si>
    <t>507,3 кв. м</t>
  </si>
  <si>
    <t>518,1 кв. м</t>
  </si>
  <si>
    <t>394,5 кв. м</t>
  </si>
  <si>
    <t>624,7 кв. м</t>
  </si>
  <si>
    <t>624,2 кв. м</t>
  </si>
  <si>
    <t>605,7 кв. м</t>
  </si>
  <si>
    <t>604,2 кв. м</t>
  </si>
  <si>
    <t>585,1 кв. м</t>
  </si>
  <si>
    <t>1622,6 кв. м</t>
  </si>
  <si>
    <t>1644,6 кв. м</t>
  </si>
  <si>
    <t>625,5 кв. м</t>
  </si>
  <si>
    <t>612,3 кв. м</t>
  </si>
  <si>
    <t>634,3 кв. м</t>
  </si>
  <si>
    <t>Возврат за размещения имущества ОАО "Ростелеком"</t>
  </si>
  <si>
    <r>
      <t>4.Остаток на начало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</si>
  <si>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r>
      <t>4.Остаток на конец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</si>
  <si>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t>начислено содержание жилья</t>
  </si>
  <si>
    <t>факт содержание жилья</t>
  </si>
  <si>
    <t>_________________________</t>
  </si>
  <si>
    <t>__________________________</t>
  </si>
  <si>
    <t>_______________________________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</si>
  <si>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 -амортизация;                                                                                       - транспортные расходы;  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</si>
  <si>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t>помещения МКД № 1 по ул. Перспективная, г. Новошахтинска</t>
  </si>
  <si>
    <t>помещения МКД № 3 по ул. Перспективная, г. Новошахтинска</t>
  </si>
  <si>
    <t>единица измерения работы/              услуги</t>
  </si>
  <si>
    <t>Р.А. Абдуллаев</t>
  </si>
  <si>
    <t>период с 01.07.2013 года по 31.12.2021 года</t>
  </si>
  <si>
    <t>Н.Е. Потокина</t>
  </si>
  <si>
    <t>Переходящие остатки денежных средств на 01.01.2022 года</t>
  </si>
  <si>
    <t>от _______________________2023 г.</t>
  </si>
  <si>
    <t>Ежегодный отчет Управляющей организации ООО "Партнер-1" о выполнении Договора о деятельности за отчетный период с 01.01.2022 г. по 31.12.2022 г.</t>
  </si>
  <si>
    <t>Отчет об оказанных услугах и выполненных работах по содержанию и текущему ремонту общего имущества в МКД за 2022 год</t>
  </si>
  <si>
    <t>ст-ть на 1 кв. м общей жилой  площади (руб. в мес.)  2022</t>
  </si>
  <si>
    <t>Переходящие остатки денежных средств на 01.01.2023 года</t>
  </si>
  <si>
    <t>период с 01.07.2013 года по 31.12.2022 года</t>
  </si>
  <si>
    <t>Ежегодный отчет  ООО "Партнер-1" о выполнении Договора о деятельности за отчетный период с 01.01.2022 г. по 31.12.2022 г.</t>
  </si>
  <si>
    <t xml:space="preserve"> </t>
  </si>
  <si>
    <t>623,8 кв. 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</si>
</sst>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2" fillId="0" borderId="0" xfId="0" applyFont="1" applyFill="1"/>
    <xf numFmtId="2" fontId="5" fillId="0" borderId="8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left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2" fontId="5" fillId="0" borderId="0" xfId="0" applyNumberFormat="1" applyFont="1" applyFill="1" applyBorder="1"/>
    <xf numFmtId="2" fontId="2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top" wrapText="1"/>
    </xf>
    <xf numFmtId="0" fontId="8" fillId="0" borderId="35" xfId="0" applyFont="1" applyFill="1" applyBorder="1" applyAlignment="1">
      <alignment horizontal="center" vertical="center" wrapText="1"/>
    </xf>
    <xf numFmtId="2" fontId="5" fillId="0" borderId="36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0" fontId="5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vertical="top" wrapText="1"/>
    </xf>
    <xf numFmtId="0" fontId="8" fillId="0" borderId="4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2" fontId="3" fillId="0" borderId="1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20" xfId="0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8" fillId="0" borderId="1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0" xfId="0" applyFont="1" applyFill="1" applyBorder="1"/>
    <xf numFmtId="2" fontId="3" fillId="0" borderId="13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/>
    </xf>
    <xf numFmtId="0" fontId="5" fillId="0" borderId="3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5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2" fontId="3" fillId="0" borderId="4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5" fillId="0" borderId="38" xfId="0" applyFont="1" applyFill="1" applyBorder="1" applyAlignment="1">
      <alignment vertical="center" wrapText="1"/>
    </xf>
    <xf numFmtId="0" fontId="0" fillId="0" borderId="0" xfId="0" applyFill="1" applyAlignment="1"/>
    <xf numFmtId="2" fontId="5" fillId="0" borderId="38" xfId="0" applyNumberFormat="1" applyFont="1" applyFill="1" applyBorder="1" applyAlignment="1"/>
    <xf numFmtId="0" fontId="3" fillId="0" borderId="0" xfId="0" applyFont="1" applyFill="1" applyAlignme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/>
    <xf numFmtId="2" fontId="5" fillId="0" borderId="3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wrapText="1"/>
    </xf>
    <xf numFmtId="164" fontId="8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/>
    <xf numFmtId="2" fontId="3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Border="1"/>
    <xf numFmtId="0" fontId="2" fillId="0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7" xfId="0" applyFont="1" applyFill="1" applyBorder="1"/>
    <xf numFmtId="2" fontId="13" fillId="0" borderId="7" xfId="0" applyNumberFormat="1" applyFont="1" applyFill="1" applyBorder="1"/>
    <xf numFmtId="0" fontId="14" fillId="0" borderId="0" xfId="0" applyFont="1" applyFill="1"/>
    <xf numFmtId="0" fontId="13" fillId="0" borderId="0" xfId="0" applyFont="1" applyFill="1" applyAlignment="1">
      <alignment horizontal="center" vertical="center"/>
    </xf>
    <xf numFmtId="2" fontId="15" fillId="0" borderId="0" xfId="0" applyNumberFormat="1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3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2" fontId="13" fillId="0" borderId="0" xfId="0" applyNumberFormat="1" applyFont="1" applyFill="1"/>
    <xf numFmtId="0" fontId="10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36" xfId="0" applyNumberFormat="1" applyFont="1" applyFill="1" applyBorder="1" applyAlignment="1">
      <alignment horizontal="center"/>
    </xf>
    <xf numFmtId="2" fontId="5" fillId="0" borderId="35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5" fillId="0" borderId="41" xfId="0" applyNumberFormat="1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2" fontId="5" fillId="0" borderId="4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2" fontId="3" fillId="0" borderId="18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wrapText="1"/>
    </xf>
    <xf numFmtId="0" fontId="12" fillId="0" borderId="26" xfId="0" applyFont="1" applyFill="1" applyBorder="1" applyAlignment="1">
      <alignment horizontal="center" wrapText="1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 shrinkToFit="1"/>
    </xf>
    <xf numFmtId="0" fontId="9" fillId="0" borderId="23" xfId="0" applyFont="1" applyFill="1" applyBorder="1" applyAlignment="1">
      <alignment horizontal="center" vertical="center" wrapText="1" shrinkToFit="1"/>
    </xf>
    <xf numFmtId="2" fontId="9" fillId="0" borderId="29" xfId="0" applyNumberFormat="1" applyFont="1" applyFill="1" applyBorder="1" applyAlignment="1">
      <alignment horizontal="center" vertical="center" wrapText="1"/>
    </xf>
    <xf numFmtId="2" fontId="9" fillId="0" borderId="24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6" xfId="0" applyFont="1" applyFill="1" applyBorder="1" applyAlignment="1">
      <alignment horizontal="center" wrapText="1" shrinkToFit="1"/>
    </xf>
    <xf numFmtId="0" fontId="9" fillId="0" borderId="4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wrapText="1" shrinkToFit="1"/>
    </xf>
    <xf numFmtId="0" fontId="9" fillId="0" borderId="49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right"/>
    </xf>
    <xf numFmtId="0" fontId="9" fillId="0" borderId="46" xfId="0" applyFont="1" applyFill="1" applyBorder="1" applyAlignment="1">
      <alignment horizontal="center" vertical="center" wrapText="1" shrinkToFit="1"/>
    </xf>
    <xf numFmtId="0" fontId="9" fillId="0" borderId="48" xfId="0" applyFont="1" applyFill="1" applyBorder="1" applyAlignment="1">
      <alignment horizontal="center" vertical="center" wrapText="1" shrinkToFi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9"/>
  <sheetViews>
    <sheetView tabSelected="1" topLeftCell="B2" zoomScale="110" zoomScaleNormal="110" workbookViewId="0">
      <selection activeCell="I13" sqref="I13"/>
    </sheetView>
  </sheetViews>
  <sheetFormatPr defaultColWidth="9.140625" defaultRowHeight="15.75" outlineLevelRow="1"/>
  <cols>
    <col min="1" max="1" width="2.85546875" style="3" customWidth="1"/>
    <col min="2" max="2" width="56.28515625" style="3" customWidth="1"/>
    <col min="3" max="3" width="23.5703125" style="141" customWidth="1"/>
    <col min="4" max="4" width="9.42578125" style="142" customWidth="1"/>
    <col min="5" max="5" width="10.28515625" style="142" customWidth="1"/>
    <col min="6" max="6" width="10.42578125" style="3" customWidth="1"/>
    <col min="7" max="7" width="10.28515625" style="3" customWidth="1"/>
    <col min="8" max="8" width="10.85546875" style="3" customWidth="1"/>
    <col min="9" max="9" width="10.7109375" style="3" bestFit="1" customWidth="1"/>
    <col min="10" max="12" width="9.140625" style="3"/>
    <col min="13" max="13" width="13" style="110" customWidth="1"/>
    <col min="14" max="14" width="12.8554687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3.5" customHeight="1">
      <c r="A4" s="12"/>
      <c r="B4" s="140"/>
      <c r="C4" s="140"/>
      <c r="D4" s="140"/>
      <c r="E4" s="140"/>
      <c r="F4" s="140"/>
      <c r="G4" s="140"/>
      <c r="H4" s="140"/>
    </row>
    <row r="5" spans="1:9">
      <c r="B5" s="3" t="s">
        <v>0</v>
      </c>
      <c r="D5" s="188" t="s">
        <v>14</v>
      </c>
      <c r="E5" s="188"/>
    </row>
    <row r="6" spans="1:9">
      <c r="B6" s="3" t="s">
        <v>1</v>
      </c>
      <c r="D6" s="135">
        <v>1962</v>
      </c>
      <c r="E6" s="135"/>
    </row>
    <row r="7" spans="1:9" hidden="1" outlineLevel="1">
      <c r="B7" s="3" t="s">
        <v>2</v>
      </c>
      <c r="D7" s="135">
        <v>2</v>
      </c>
      <c r="E7" s="135"/>
    </row>
    <row r="8" spans="1:9" hidden="1" outlineLevel="1">
      <c r="B8" s="3" t="s">
        <v>3</v>
      </c>
      <c r="D8" s="135">
        <v>16</v>
      </c>
      <c r="E8" s="135"/>
    </row>
    <row r="9" spans="1:9" ht="30.75" hidden="1" customHeight="1" outlineLevel="1">
      <c r="B9" s="13" t="s">
        <v>4</v>
      </c>
      <c r="C9" s="14"/>
      <c r="D9" s="135" t="s">
        <v>15</v>
      </c>
      <c r="E9" s="135"/>
    </row>
    <row r="10" spans="1:9" collapsed="1">
      <c r="B10" s="3" t="s">
        <v>5</v>
      </c>
      <c r="D10" s="144" t="s">
        <v>158</v>
      </c>
      <c r="E10" s="135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14"/>
      <c r="D12" s="109" t="s">
        <v>9</v>
      </c>
      <c r="E12" s="135"/>
      <c r="I12" s="10"/>
    </row>
    <row r="13" spans="1:9" collapsed="1">
      <c r="B13" s="13"/>
      <c r="C13" s="14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2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941900.05999999994</v>
      </c>
      <c r="D16" s="191"/>
      <c r="E16" s="153">
        <v>670348.96</v>
      </c>
      <c r="F16" s="154"/>
      <c r="G16" s="153">
        <v>271551.09999999998</v>
      </c>
      <c r="H16" s="159"/>
      <c r="I16" s="10"/>
    </row>
    <row r="17" spans="2:14">
      <c r="B17" s="47" t="s">
        <v>13</v>
      </c>
      <c r="C17" s="151">
        <v>831350.77999999991</v>
      </c>
      <c r="D17" s="189"/>
      <c r="E17" s="151">
        <v>592407.93999999994</v>
      </c>
      <c r="F17" s="152"/>
      <c r="G17" s="151">
        <v>238942.83999999997</v>
      </c>
      <c r="H17" s="160"/>
      <c r="I17" s="10"/>
    </row>
    <row r="18" spans="2:14" ht="16.5" thickBot="1">
      <c r="B18" s="49" t="s">
        <v>78</v>
      </c>
      <c r="C18" s="161">
        <v>870435.68239999993</v>
      </c>
      <c r="D18" s="190"/>
      <c r="E18" s="164">
        <v>679406.68239999993</v>
      </c>
      <c r="F18" s="165"/>
      <c r="G18" s="164">
        <f>191029+541</f>
        <v>191570</v>
      </c>
      <c r="H18" s="166"/>
      <c r="I18" s="10"/>
    </row>
    <row r="19" spans="2:14" ht="36.75" thickBot="1">
      <c r="B19" s="11" t="s">
        <v>135</v>
      </c>
      <c r="C19" s="170">
        <f>E19+G19</f>
        <v>-39625.902400000021</v>
      </c>
      <c r="D19" s="171"/>
      <c r="E19" s="168">
        <f>E17-E18</f>
        <v>-86998.742399999988</v>
      </c>
      <c r="F19" s="169"/>
      <c r="G19" s="168">
        <f>G17-G18</f>
        <v>47372.839999999967</v>
      </c>
      <c r="H19" s="172"/>
      <c r="I19" s="10"/>
    </row>
    <row r="20" spans="2:14">
      <c r="B20" s="13"/>
      <c r="C20" s="14"/>
      <c r="D20" s="109"/>
      <c r="E20" s="135"/>
      <c r="I20" s="10"/>
    </row>
    <row r="21" spans="2:14" ht="22.5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89439.71</v>
      </c>
      <c r="N23" s="111">
        <f>M23</f>
        <v>89439.71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16210.058728139909</v>
      </c>
      <c r="G24" s="23">
        <f>$N$23/$N$24*E24</f>
        <v>16210.058728139909</v>
      </c>
      <c r="H24" s="24">
        <f>F24-G24</f>
        <v>0</v>
      </c>
      <c r="I24" s="25"/>
      <c r="J24" s="25"/>
      <c r="K24" s="138"/>
      <c r="L24" s="26"/>
      <c r="M24" s="112">
        <f>E33-E31</f>
        <v>12.579999999999997</v>
      </c>
      <c r="N24" s="112">
        <f>E33-E31</f>
        <v>12.579999999999997</v>
      </c>
    </row>
    <row r="25" spans="2:14" ht="51">
      <c r="B25" s="27" t="s">
        <v>90</v>
      </c>
      <c r="C25" s="5" t="s">
        <v>111</v>
      </c>
      <c r="D25" s="20" t="s">
        <v>98</v>
      </c>
      <c r="E25" s="6">
        <v>0</v>
      </c>
      <c r="F25" s="22">
        <f>$M$23/$M$24*E25</f>
        <v>0</v>
      </c>
      <c r="G25" s="23">
        <f>$N$23/$N$24*E25</f>
        <v>0</v>
      </c>
      <c r="H25" s="24">
        <f t="shared" ref="H25:H30" si="0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ref="F26:F32" si="1">$M$23/$M$24*E26</f>
        <v>2275.095961844198</v>
      </c>
      <c r="G26" s="23">
        <f t="shared" ref="G26:G29" si="2">$N$23/$N$24*E26</f>
        <v>2275.095961844198</v>
      </c>
      <c r="H26" s="24">
        <f t="shared" si="0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</v>
      </c>
      <c r="F27" s="22">
        <f t="shared" si="1"/>
        <v>0</v>
      </c>
      <c r="G27" s="23">
        <f t="shared" si="2"/>
        <v>0</v>
      </c>
      <c r="H27" s="24">
        <f t="shared" si="0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1.48</v>
      </c>
      <c r="F28" s="22">
        <f t="shared" si="1"/>
        <v>10522.318823529415</v>
      </c>
      <c r="G28" s="23">
        <f t="shared" si="2"/>
        <v>10522.318823529415</v>
      </c>
      <c r="H28" s="24">
        <f t="shared" si="0"/>
        <v>0</v>
      </c>
      <c r="I28" s="25"/>
      <c r="J28" s="25"/>
    </row>
    <row r="29" spans="2:14" ht="216.75" customHeight="1">
      <c r="B29" s="27" t="s">
        <v>142</v>
      </c>
      <c r="C29" s="30" t="s">
        <v>101</v>
      </c>
      <c r="D29" s="20" t="s">
        <v>98</v>
      </c>
      <c r="E29" s="6">
        <v>6.64</v>
      </c>
      <c r="F29" s="22">
        <f t="shared" si="1"/>
        <v>47208.241208267107</v>
      </c>
      <c r="G29" s="23">
        <f t="shared" si="2"/>
        <v>47208.241208267107</v>
      </c>
      <c r="H29" s="24">
        <f t="shared" si="0"/>
        <v>0</v>
      </c>
      <c r="I29" s="25"/>
      <c r="J29" s="25"/>
      <c r="K29" s="2"/>
      <c r="L29" s="1"/>
      <c r="M29" s="113"/>
      <c r="N29" s="113"/>
    </row>
    <row r="30" spans="2:14" ht="120" customHeight="1">
      <c r="B30" s="27" t="s">
        <v>102</v>
      </c>
      <c r="C30" s="5" t="s">
        <v>111</v>
      </c>
      <c r="D30" s="20" t="s">
        <v>98</v>
      </c>
      <c r="E30" s="6">
        <v>0.7</v>
      </c>
      <c r="F30" s="22">
        <f t="shared" si="1"/>
        <v>4976.7724165341824</v>
      </c>
      <c r="G30" s="23">
        <f t="shared" ref="G30" si="3">$N$23/$N$24*E30</f>
        <v>4976.7724165341824</v>
      </c>
      <c r="H30" s="24">
        <f t="shared" si="0"/>
        <v>0</v>
      </c>
      <c r="I30" s="25"/>
      <c r="J30" s="25"/>
    </row>
    <row r="31" spans="2:14" ht="49.5" customHeight="1">
      <c r="B31" s="28" t="s">
        <v>103</v>
      </c>
      <c r="C31" s="5" t="s">
        <v>111</v>
      </c>
      <c r="D31" s="20" t="s">
        <v>98</v>
      </c>
      <c r="E31" s="6">
        <v>3.69</v>
      </c>
      <c r="F31" s="22">
        <v>29813.24</v>
      </c>
      <c r="G31" s="4">
        <v>72256</v>
      </c>
      <c r="H31" s="24">
        <f>F31-G31</f>
        <v>-42442.759999999995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1.1599999999999999</v>
      </c>
      <c r="F32" s="22">
        <f t="shared" si="1"/>
        <v>8247.2228616852171</v>
      </c>
      <c r="G32" s="23">
        <f t="shared" ref="G32" si="4">$N$23/$N$24*E32</f>
        <v>8247.2228616852171</v>
      </c>
      <c r="H32" s="35">
        <f>F32-G32</f>
        <v>0</v>
      </c>
      <c r="I32" s="25"/>
      <c r="J32" s="25"/>
    </row>
    <row r="33" spans="2:14" ht="16.5" thickBot="1">
      <c r="B33" s="36" t="s">
        <v>89</v>
      </c>
      <c r="C33" s="37"/>
      <c r="D33" s="37"/>
      <c r="E33" s="38">
        <f>SUM(E24:E32)</f>
        <v>16.269999999999996</v>
      </c>
      <c r="F33" s="39">
        <f>SUM(F24:F32)</f>
        <v>119252.95000000004</v>
      </c>
      <c r="G33" s="40">
        <f>SUM(G24:G32)</f>
        <v>161695.71000000002</v>
      </c>
      <c r="H33" s="41">
        <f>SUM(H24:H32)</f>
        <v>-42442.759999999995</v>
      </c>
      <c r="I33" s="42"/>
      <c r="J33" s="42"/>
    </row>
    <row r="34" spans="2:14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45"/>
      <c r="L36" s="46"/>
      <c r="M36" s="114"/>
      <c r="N36" s="114"/>
    </row>
    <row r="37" spans="2:14">
      <c r="B37" s="95" t="s">
        <v>12</v>
      </c>
      <c r="C37" s="149">
        <f>E37+G37</f>
        <v>1061153.01</v>
      </c>
      <c r="D37" s="150"/>
      <c r="E37" s="153">
        <f>F24+F25+F26+F27+F28+F29+F30+F32+E16</f>
        <v>759788.67</v>
      </c>
      <c r="F37" s="154"/>
      <c r="G37" s="153">
        <f>F31+G16</f>
        <v>301364.33999999997</v>
      </c>
      <c r="H37" s="159"/>
      <c r="I37" s="48"/>
      <c r="J37" s="48"/>
      <c r="K37" s="7"/>
      <c r="L37" s="7"/>
      <c r="M37" s="115"/>
    </row>
    <row r="38" spans="2:14">
      <c r="B38" s="47" t="s">
        <v>13</v>
      </c>
      <c r="C38" s="151">
        <f>E38+G38</f>
        <v>969303.54999999981</v>
      </c>
      <c r="D38" s="152"/>
      <c r="E38" s="151">
        <f>E17+103464.58</f>
        <v>695872.5199999999</v>
      </c>
      <c r="F38" s="152"/>
      <c r="G38" s="151">
        <f>G17+34488.19</f>
        <v>273431.02999999997</v>
      </c>
      <c r="H38" s="160"/>
      <c r="I38" s="48"/>
      <c r="J38" s="48"/>
      <c r="K38" s="9"/>
      <c r="L38" s="7"/>
      <c r="M38" s="115"/>
    </row>
    <row r="39" spans="2:14" ht="16.5" thickBot="1">
      <c r="B39" s="49" t="s">
        <v>78</v>
      </c>
      <c r="C39" s="161">
        <f>E39+G39</f>
        <v>1032672.3924</v>
      </c>
      <c r="D39" s="162"/>
      <c r="E39" s="164">
        <f>G24+G25+G26+G27+G28+G29+G30+G32+E18</f>
        <v>768846.39240000001</v>
      </c>
      <c r="F39" s="165"/>
      <c r="G39" s="164">
        <f>G31+G18</f>
        <v>263826</v>
      </c>
      <c r="H39" s="166"/>
      <c r="I39" s="48"/>
      <c r="J39" s="48"/>
      <c r="K39" s="50"/>
      <c r="L39" s="50"/>
    </row>
    <row r="40" spans="2:14" ht="29.25" customHeight="1" thickBot="1">
      <c r="B40" s="11" t="s">
        <v>136</v>
      </c>
      <c r="C40" s="170">
        <f>E40+G40</f>
        <v>-63368.84240000014</v>
      </c>
      <c r="D40" s="171"/>
      <c r="E40" s="168">
        <f>E38-E39</f>
        <v>-72973.872400000109</v>
      </c>
      <c r="F40" s="169"/>
      <c r="G40" s="168">
        <f>G38-G39</f>
        <v>9605.0299999999697</v>
      </c>
      <c r="H40" s="172"/>
      <c r="I40" s="48"/>
      <c r="J40" s="48"/>
      <c r="K40" s="50"/>
      <c r="L40" s="50"/>
    </row>
    <row r="41" spans="2:14" ht="34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2"/>
      <c r="L41" s="2"/>
      <c r="M41" s="113"/>
      <c r="N41" s="113"/>
    </row>
    <row r="42" spans="2:14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2"/>
      <c r="L43" s="2"/>
      <c r="M43" s="113"/>
      <c r="N43" s="113"/>
    </row>
    <row r="44" spans="2:14" ht="9.75" customHeight="1">
      <c r="B44" s="132"/>
      <c r="C44" s="132"/>
      <c r="D44" s="132"/>
      <c r="E44" s="133"/>
      <c r="F44" s="167"/>
      <c r="G44" s="167"/>
      <c r="H44" s="132"/>
      <c r="I44" s="132"/>
      <c r="J44" s="132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4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4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4" ht="9" customHeight="1">
      <c r="B48" s="55"/>
      <c r="C48" s="55"/>
      <c r="D48" s="55"/>
      <c r="E48" s="133"/>
      <c r="F48" s="173"/>
      <c r="G48" s="173"/>
    </row>
    <row r="49" spans="5:5">
      <c r="E49" s="137"/>
    </row>
  </sheetData>
  <mergeCells count="55">
    <mergeCell ref="C15:D15"/>
    <mergeCell ref="C16:D16"/>
    <mergeCell ref="E19:F19"/>
    <mergeCell ref="G19:H19"/>
    <mergeCell ref="E17:F17"/>
    <mergeCell ref="G17:H17"/>
    <mergeCell ref="E18:F18"/>
    <mergeCell ref="E15:F15"/>
    <mergeCell ref="G16:H16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G18:H18"/>
    <mergeCell ref="C17:D17"/>
    <mergeCell ref="C18:D18"/>
    <mergeCell ref="C19:D19"/>
    <mergeCell ref="B14:H14"/>
    <mergeCell ref="G15:H15"/>
    <mergeCell ref="F48:G48"/>
    <mergeCell ref="F44:G44"/>
    <mergeCell ref="F45:G45"/>
    <mergeCell ref="F41:G41"/>
    <mergeCell ref="F42:G42"/>
    <mergeCell ref="F43:G43"/>
    <mergeCell ref="C45:E45"/>
    <mergeCell ref="C47:E47"/>
    <mergeCell ref="F47:G47"/>
    <mergeCell ref="E40:F40"/>
    <mergeCell ref="C40:D40"/>
    <mergeCell ref="G40:H40"/>
    <mergeCell ref="C39:D39"/>
    <mergeCell ref="C41:E41"/>
    <mergeCell ref="C43:E43"/>
    <mergeCell ref="E16:F16"/>
    <mergeCell ref="M21:M22"/>
    <mergeCell ref="E38:F38"/>
    <mergeCell ref="E39:F39"/>
    <mergeCell ref="G39:H39"/>
    <mergeCell ref="N21:N22"/>
    <mergeCell ref="C36:D36"/>
    <mergeCell ref="C37:D37"/>
    <mergeCell ref="C38:D38"/>
    <mergeCell ref="E37:F37"/>
    <mergeCell ref="B35:H35"/>
    <mergeCell ref="E36:F36"/>
    <mergeCell ref="G36:H36"/>
    <mergeCell ref="G37:H37"/>
    <mergeCell ref="G38:H38"/>
  </mergeCells>
  <printOptions horizontalCentered="1"/>
  <pageMargins left="0.19685039370078741" right="0.19685039370078741" top="0.15748031496062992" bottom="0.23622047244094491" header="0.15748031496062992" footer="0.23622047244094491"/>
  <pageSetup paperSize="9" scale="5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0"/>
  <sheetViews>
    <sheetView topLeftCell="A32"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3" customWidth="1"/>
    <col min="2" max="2" width="55.7109375" style="3" customWidth="1"/>
    <col min="3" max="3" width="22" style="141" customWidth="1"/>
    <col min="4" max="4" width="8.42578125" style="142" customWidth="1"/>
    <col min="5" max="5" width="10.28515625" style="142" customWidth="1"/>
    <col min="6" max="6" width="9" style="3" customWidth="1"/>
    <col min="7" max="7" width="10.28515625" style="3" customWidth="1"/>
    <col min="8" max="8" width="10.85546875" style="3" customWidth="1"/>
    <col min="9" max="9" width="10.7109375" style="3" bestFit="1" customWidth="1"/>
    <col min="10" max="12" width="9.140625" style="3"/>
    <col min="13" max="13" width="14.5703125" style="110" customWidth="1"/>
    <col min="14" max="14" width="12.8554687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15" customHeight="1">
      <c r="B3" s="176"/>
      <c r="C3" s="176"/>
      <c r="D3" s="176"/>
      <c r="E3" s="176"/>
      <c r="F3" s="176"/>
      <c r="G3" s="176"/>
      <c r="H3" s="176"/>
    </row>
    <row r="4" spans="2:9" ht="16.5" customHeight="1"/>
    <row r="5" spans="2:9">
      <c r="B5" s="3" t="s">
        <v>0</v>
      </c>
      <c r="D5" s="188" t="s">
        <v>38</v>
      </c>
      <c r="E5" s="188"/>
    </row>
    <row r="6" spans="2:9">
      <c r="B6" s="3" t="s">
        <v>1</v>
      </c>
      <c r="D6" s="135">
        <v>1959</v>
      </c>
      <c r="E6" s="135"/>
    </row>
    <row r="7" spans="2:9" ht="18.75" hidden="1" customHeight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16</v>
      </c>
      <c r="E8" s="135"/>
    </row>
    <row r="9" spans="2:9" ht="30.75" hidden="1" customHeight="1" outlineLevel="1">
      <c r="B9" s="13" t="s">
        <v>4</v>
      </c>
      <c r="C9" s="14"/>
      <c r="D9" s="135" t="s">
        <v>39</v>
      </c>
      <c r="E9" s="135"/>
    </row>
    <row r="10" spans="2:9" collapsed="1">
      <c r="B10" s="3" t="s">
        <v>5</v>
      </c>
      <c r="D10" s="135" t="s">
        <v>121</v>
      </c>
      <c r="E10" s="135"/>
      <c r="I10" s="10"/>
    </row>
    <row r="11" spans="2:9" ht="27" hidden="1" customHeight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14"/>
      <c r="D12" s="109" t="s">
        <v>40</v>
      </c>
      <c r="E12" s="135"/>
      <c r="I12" s="10"/>
    </row>
    <row r="13" spans="2:9" ht="7.5" customHeight="1" collapsed="1">
      <c r="B13" s="13"/>
      <c r="C13" s="14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1.2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690996.67399131926</v>
      </c>
      <c r="D16" s="191"/>
      <c r="E16" s="153">
        <v>540391.88399131922</v>
      </c>
      <c r="F16" s="154"/>
      <c r="G16" s="153">
        <v>150604.79</v>
      </c>
      <c r="H16" s="159"/>
      <c r="I16" s="10"/>
    </row>
    <row r="17" spans="2:14">
      <c r="B17" s="47" t="s">
        <v>13</v>
      </c>
      <c r="C17" s="151">
        <v>597623.42000000004</v>
      </c>
      <c r="D17" s="152"/>
      <c r="E17" s="151">
        <v>468506.83</v>
      </c>
      <c r="F17" s="152"/>
      <c r="G17" s="151">
        <v>129116.59</v>
      </c>
      <c r="H17" s="160"/>
      <c r="I17" s="10"/>
    </row>
    <row r="18" spans="2:14">
      <c r="B18" s="49" t="s">
        <v>78</v>
      </c>
      <c r="C18" s="151">
        <v>653827.28347088699</v>
      </c>
      <c r="D18" s="152"/>
      <c r="E18" s="164">
        <v>546820.28347088699</v>
      </c>
      <c r="F18" s="165"/>
      <c r="G18" s="164">
        <v>107007</v>
      </c>
      <c r="H18" s="166"/>
      <c r="I18" s="10"/>
    </row>
    <row r="19" spans="2:14" ht="16.5" thickBot="1">
      <c r="B19" s="59" t="s">
        <v>134</v>
      </c>
      <c r="C19" s="161">
        <v>7800</v>
      </c>
      <c r="D19" s="162"/>
      <c r="E19" s="161">
        <v>7800</v>
      </c>
      <c r="F19" s="162"/>
      <c r="G19" s="161">
        <v>0</v>
      </c>
      <c r="H19" s="192"/>
      <c r="I19" s="10"/>
    </row>
    <row r="20" spans="2:14" ht="28.5" customHeight="1" thickBot="1">
      <c r="B20" s="11" t="s">
        <v>135</v>
      </c>
      <c r="C20" s="170">
        <f>E20+G20</f>
        <v>-48403.863470886979</v>
      </c>
      <c r="D20" s="171"/>
      <c r="E20" s="168">
        <f>E17+E19-E18</f>
        <v>-70513.453470886976</v>
      </c>
      <c r="F20" s="169"/>
      <c r="G20" s="168">
        <f>G17-G18</f>
        <v>22109.589999999997</v>
      </c>
      <c r="H20" s="172"/>
      <c r="I20" s="10"/>
    </row>
    <row r="21" spans="2:14" ht="11.25" customHeight="1">
      <c r="B21" s="13"/>
      <c r="C21" s="14"/>
      <c r="D21" s="109"/>
      <c r="E21" s="135"/>
      <c r="I21" s="10"/>
    </row>
    <row r="22" spans="2:14" ht="19.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75255.25</v>
      </c>
      <c r="N24" s="111">
        <f>M24</f>
        <v>75255.25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2.2799999999999998</v>
      </c>
      <c r="F25" s="22">
        <f>$M$24/$M$25*E25</f>
        <v>13249.572972972976</v>
      </c>
      <c r="G25" s="23">
        <f>$N$24/$N$25*E25</f>
        <v>13249.572972972976</v>
      </c>
      <c r="H25" s="24">
        <f>F25-G25</f>
        <v>0</v>
      </c>
      <c r="I25" s="25"/>
      <c r="J25" s="25"/>
      <c r="K25" s="138"/>
      <c r="L25" s="26"/>
      <c r="M25" s="112">
        <f>E34-E32</f>
        <v>12.949999999999998</v>
      </c>
      <c r="N25" s="112">
        <f>E34-E32</f>
        <v>12.949999999999998</v>
      </c>
    </row>
    <row r="26" spans="2:14" ht="56.25">
      <c r="B26" s="27" t="s">
        <v>90</v>
      </c>
      <c r="C26" s="5" t="s">
        <v>111</v>
      </c>
      <c r="D26" s="20" t="s">
        <v>98</v>
      </c>
      <c r="E26" s="6">
        <v>2.58</v>
      </c>
      <c r="F26" s="22">
        <f>$M$24/$M$25*E26</f>
        <v>14992.937837837842</v>
      </c>
      <c r="G26" s="23">
        <f>$N$24/$N$25*E26</f>
        <v>14992.937837837842</v>
      </c>
      <c r="H26" s="24">
        <f t="shared" ref="H26:H31" si="0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ref="F27:F33" si="1">$M$24/$M$25*E27</f>
        <v>1859.5891891891897</v>
      </c>
      <c r="G27" s="23">
        <f t="shared" ref="G27:G30" si="2">$N$24/$N$25*E27</f>
        <v>1859.5891891891897</v>
      </c>
      <c r="H27" s="24">
        <f t="shared" si="0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0.5</v>
      </c>
      <c r="F28" s="22">
        <f>($M$24/12*2)/$M$25*E28</f>
        <v>484.2680180180181</v>
      </c>
      <c r="G28" s="23">
        <f>($N$24/12*2)/$N$25*E28</f>
        <v>484.2680180180181</v>
      </c>
      <c r="H28" s="24">
        <f t="shared" si="0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1.18</v>
      </c>
      <c r="F29" s="22">
        <f t="shared" si="1"/>
        <v>6857.2351351351363</v>
      </c>
      <c r="G29" s="23">
        <f t="shared" si="2"/>
        <v>6857.2351351351363</v>
      </c>
      <c r="H29" s="24">
        <f t="shared" si="0"/>
        <v>0</v>
      </c>
      <c r="I29" s="25"/>
      <c r="J29" s="25"/>
    </row>
    <row r="30" spans="2:14" ht="228.75" customHeight="1">
      <c r="B30" s="27" t="s">
        <v>110</v>
      </c>
      <c r="C30" s="30" t="s">
        <v>101</v>
      </c>
      <c r="D30" s="20" t="s">
        <v>98</v>
      </c>
      <c r="E30" s="6">
        <v>5.61</v>
      </c>
      <c r="F30" s="22">
        <f t="shared" si="1"/>
        <v>32600.922972972981</v>
      </c>
      <c r="G30" s="23">
        <f t="shared" si="2"/>
        <v>32600.922972972981</v>
      </c>
      <c r="H30" s="24">
        <f t="shared" si="0"/>
        <v>0</v>
      </c>
      <c r="I30" s="25"/>
      <c r="J30" s="25"/>
      <c r="K30" s="2"/>
      <c r="L30" s="1"/>
      <c r="M30" s="113"/>
      <c r="N30" s="113"/>
    </row>
    <row r="31" spans="2:14" ht="108.75" customHeight="1">
      <c r="B31" s="27" t="s">
        <v>102</v>
      </c>
      <c r="C31" s="5" t="s">
        <v>111</v>
      </c>
      <c r="D31" s="20" t="s">
        <v>98</v>
      </c>
      <c r="E31" s="6">
        <v>0.19</v>
      </c>
      <c r="F31" s="22">
        <f t="shared" si="1"/>
        <v>1104.1310810810814</v>
      </c>
      <c r="G31" s="23">
        <f t="shared" ref="G31" si="3">$N$24/$N$25*E31</f>
        <v>1104.1310810810814</v>
      </c>
      <c r="H31" s="24">
        <f t="shared" si="0"/>
        <v>0</v>
      </c>
      <c r="I31" s="25"/>
      <c r="J31" s="25"/>
    </row>
    <row r="32" spans="2:14" ht="56.25">
      <c r="B32" s="28" t="s">
        <v>103</v>
      </c>
      <c r="C32" s="5" t="s">
        <v>111</v>
      </c>
      <c r="D32" s="20" t="s">
        <v>98</v>
      </c>
      <c r="E32" s="6">
        <v>2.74</v>
      </c>
      <c r="F32" s="22">
        <v>17945.990000000002</v>
      </c>
      <c r="G32" s="4">
        <v>3115</v>
      </c>
      <c r="H32" s="24">
        <f>F32-G32</f>
        <v>14830.990000000002</v>
      </c>
      <c r="I32" s="25"/>
      <c r="J32" s="25"/>
      <c r="L32" s="10"/>
    </row>
    <row r="33" spans="2:14" ht="16.5" thickBot="1">
      <c r="B33" s="31" t="s">
        <v>88</v>
      </c>
      <c r="C33" s="32" t="s">
        <v>101</v>
      </c>
      <c r="D33" s="33" t="s">
        <v>98</v>
      </c>
      <c r="E33" s="34">
        <v>0.28999999999999998</v>
      </c>
      <c r="F33" s="22">
        <f t="shared" si="1"/>
        <v>1685.2527027027029</v>
      </c>
      <c r="G33" s="23">
        <f t="shared" ref="G33" si="4">$N$24/$N$25*E33</f>
        <v>1685.2527027027029</v>
      </c>
      <c r="H33" s="35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15.689999999999998</v>
      </c>
      <c r="F34" s="39">
        <f>SUM(F25:F33)</f>
        <v>90779.899909909946</v>
      </c>
      <c r="G34" s="40">
        <f>SUM(G25:G33)</f>
        <v>75948.90990990994</v>
      </c>
      <c r="H34" s="41">
        <f>SUM(H25:H33)</f>
        <v>14830.990000000002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781776.57390122919</v>
      </c>
      <c r="D38" s="150"/>
      <c r="E38" s="153">
        <f>F25+F26+F27+F28+F29+F30+F31+F33+E16</f>
        <v>613225.79390122916</v>
      </c>
      <c r="F38" s="154"/>
      <c r="G38" s="153">
        <f>F32+G16</f>
        <v>168550.78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661965.34000000008</v>
      </c>
      <c r="D39" s="152"/>
      <c r="E39" s="151">
        <f>E17+51952.82</f>
        <v>520459.65</v>
      </c>
      <c r="F39" s="152"/>
      <c r="G39" s="151">
        <f>G17+12389.1</f>
        <v>141505.69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729776.19338079693</v>
      </c>
      <c r="D40" s="152"/>
      <c r="E40" s="164">
        <f>G25+G26+G27+G28+G29+G30+G31+G33+E18</f>
        <v>619654.19338079693</v>
      </c>
      <c r="F40" s="165"/>
      <c r="G40" s="164">
        <f>G32+G18</f>
        <v>110122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7800</v>
      </c>
      <c r="D41" s="162"/>
      <c r="E41" s="161">
        <f>E19</f>
        <v>7800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36.75" thickBot="1">
      <c r="B42" s="11" t="s">
        <v>136</v>
      </c>
      <c r="C42" s="170">
        <f>E42+G42</f>
        <v>-60010.853380796907</v>
      </c>
      <c r="D42" s="171"/>
      <c r="E42" s="168">
        <f>E39+E41-E40</f>
        <v>-91394.543380796909</v>
      </c>
      <c r="F42" s="169"/>
      <c r="G42" s="168">
        <f>G39-G40</f>
        <v>31383.690000000002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</sheetData>
  <mergeCells count="61">
    <mergeCell ref="C45:E45"/>
    <mergeCell ref="C47:E47"/>
    <mergeCell ref="C49:E49"/>
    <mergeCell ref="B1:H1"/>
    <mergeCell ref="B2:H3"/>
    <mergeCell ref="B22:H22"/>
    <mergeCell ref="B23:B24"/>
    <mergeCell ref="C23:C24"/>
    <mergeCell ref="D23:D24"/>
    <mergeCell ref="E23:E24"/>
    <mergeCell ref="F23:G23"/>
    <mergeCell ref="H23:H24"/>
    <mergeCell ref="D5:E5"/>
    <mergeCell ref="B14:H14"/>
    <mergeCell ref="C15:D15"/>
    <mergeCell ref="E15:F15"/>
    <mergeCell ref="G15:H15"/>
    <mergeCell ref="C16:D16"/>
    <mergeCell ref="E16:F16"/>
    <mergeCell ref="E42:F42"/>
    <mergeCell ref="G42:H42"/>
    <mergeCell ref="G16:H16"/>
    <mergeCell ref="C17:D17"/>
    <mergeCell ref="E17:F17"/>
    <mergeCell ref="G17:H17"/>
    <mergeCell ref="C37:D37"/>
    <mergeCell ref="C38:D38"/>
    <mergeCell ref="C18:D18"/>
    <mergeCell ref="E18:F18"/>
    <mergeCell ref="G18:H18"/>
    <mergeCell ref="C19:D19"/>
    <mergeCell ref="E19:F19"/>
    <mergeCell ref="F43:G43"/>
    <mergeCell ref="C39:D39"/>
    <mergeCell ref="C40:D40"/>
    <mergeCell ref="C41:D41"/>
    <mergeCell ref="C42:D42"/>
    <mergeCell ref="E41:F41"/>
    <mergeCell ref="G41:H41"/>
    <mergeCell ref="E39:F39"/>
    <mergeCell ref="G39:H39"/>
    <mergeCell ref="E40:F40"/>
    <mergeCell ref="G40:H40"/>
    <mergeCell ref="C43:E43"/>
    <mergeCell ref="F47:G47"/>
    <mergeCell ref="F49:G49"/>
    <mergeCell ref="F50:G50"/>
    <mergeCell ref="F44:G44"/>
    <mergeCell ref="F45:G45"/>
    <mergeCell ref="F46:G46"/>
    <mergeCell ref="G19:H19"/>
    <mergeCell ref="B36:H36"/>
    <mergeCell ref="E37:F37"/>
    <mergeCell ref="G37:H37"/>
    <mergeCell ref="E38:F38"/>
    <mergeCell ref="G38:H38"/>
    <mergeCell ref="M22:M23"/>
    <mergeCell ref="N22:N23"/>
    <mergeCell ref="C20:D20"/>
    <mergeCell ref="E20:F20"/>
    <mergeCell ref="G20:H20"/>
  </mergeCells>
  <printOptions horizontalCentered="1"/>
  <pageMargins left="0.19685039370078741" right="0.19685039370078741" top="0.37" bottom="0.23622047244094491" header="0.59" footer="0.25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0"/>
  <sheetViews>
    <sheetView zoomScale="110" zoomScaleNormal="110" workbookViewId="0">
      <selection activeCell="F44" sqref="F44:G44"/>
    </sheetView>
  </sheetViews>
  <sheetFormatPr defaultColWidth="9.140625" defaultRowHeight="15.75" outlineLevelRow="1"/>
  <cols>
    <col min="1" max="1" width="2.85546875" style="3" customWidth="1"/>
    <col min="2" max="2" width="56.7109375" style="3" customWidth="1"/>
    <col min="3" max="3" width="21.28515625" style="56" customWidth="1"/>
    <col min="4" max="4" width="8.5703125" style="142" customWidth="1"/>
    <col min="5" max="5" width="10.28515625" style="142" customWidth="1"/>
    <col min="6" max="6" width="10.42578125" style="3" customWidth="1"/>
    <col min="7" max="7" width="10.28515625" style="3" customWidth="1"/>
    <col min="8" max="8" width="11" style="3" customWidth="1"/>
    <col min="9" max="9" width="10.7109375" style="3" bestFit="1" customWidth="1"/>
    <col min="10" max="12" width="9.140625" style="3"/>
    <col min="13" max="13" width="13.42578125" style="110" customWidth="1"/>
    <col min="14" max="14" width="13.14062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7.25" customHeight="1"/>
    <row r="5" spans="2:9">
      <c r="B5" s="3" t="s">
        <v>0</v>
      </c>
      <c r="D5" s="188" t="s">
        <v>41</v>
      </c>
      <c r="E5" s="188"/>
    </row>
    <row r="6" spans="2:9">
      <c r="B6" s="3" t="s">
        <v>1</v>
      </c>
      <c r="D6" s="135">
        <v>1960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16</v>
      </c>
      <c r="E8" s="135"/>
    </row>
    <row r="9" spans="2:9" ht="30.75" hidden="1" customHeight="1" outlineLevel="1">
      <c r="B9" s="13" t="s">
        <v>4</v>
      </c>
      <c r="C9" s="57"/>
      <c r="D9" s="135" t="s">
        <v>42</v>
      </c>
      <c r="E9" s="135"/>
    </row>
    <row r="10" spans="2:9" collapsed="1">
      <c r="B10" s="3" t="s">
        <v>5</v>
      </c>
      <c r="D10" s="135" t="s">
        <v>122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57"/>
      <c r="D12" s="109" t="s">
        <v>43</v>
      </c>
      <c r="E12" s="135"/>
      <c r="I12" s="10"/>
    </row>
    <row r="13" spans="2:9" ht="11.25" customHeight="1" collapsed="1">
      <c r="B13" s="13"/>
      <c r="C13" s="57"/>
      <c r="D13" s="109"/>
      <c r="E13" s="135"/>
      <c r="I13" s="10"/>
    </row>
    <row r="14" spans="2:9" ht="17.25" customHeight="1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8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825501.50594642502</v>
      </c>
      <c r="D16" s="191"/>
      <c r="E16" s="153">
        <v>609031.22594642499</v>
      </c>
      <c r="F16" s="154"/>
      <c r="G16" s="153">
        <v>216470.28000000003</v>
      </c>
      <c r="H16" s="159"/>
      <c r="I16" s="10"/>
    </row>
    <row r="17" spans="2:14">
      <c r="B17" s="47" t="s">
        <v>13</v>
      </c>
      <c r="C17" s="151">
        <v>761766.2</v>
      </c>
      <c r="D17" s="189"/>
      <c r="E17" s="151">
        <v>563992.15</v>
      </c>
      <c r="F17" s="152"/>
      <c r="G17" s="151">
        <v>197774.05</v>
      </c>
      <c r="H17" s="160"/>
      <c r="I17" s="10"/>
    </row>
    <row r="18" spans="2:14">
      <c r="B18" s="49" t="s">
        <v>78</v>
      </c>
      <c r="C18" s="151">
        <v>712295.2011328938</v>
      </c>
      <c r="D18" s="189"/>
      <c r="E18" s="164">
        <v>620492.2011328938</v>
      </c>
      <c r="F18" s="165"/>
      <c r="G18" s="164">
        <v>91803</v>
      </c>
      <c r="H18" s="166"/>
      <c r="I18" s="10"/>
    </row>
    <row r="19" spans="2:14" ht="16.5" thickBot="1">
      <c r="B19" s="59" t="s">
        <v>134</v>
      </c>
      <c r="C19" s="161">
        <v>7800</v>
      </c>
      <c r="D19" s="190"/>
      <c r="E19" s="161">
        <v>7800</v>
      </c>
      <c r="F19" s="162"/>
      <c r="G19" s="161">
        <v>0</v>
      </c>
      <c r="H19" s="192"/>
      <c r="I19" s="10"/>
    </row>
    <row r="20" spans="2:14" ht="33" customHeight="1" thickBot="1">
      <c r="B20" s="11" t="s">
        <v>135</v>
      </c>
      <c r="C20" s="170">
        <f>E20+G20</f>
        <v>57270.998867106216</v>
      </c>
      <c r="D20" s="171"/>
      <c r="E20" s="168">
        <f>E17+E19-E18</f>
        <v>-48700.051132893772</v>
      </c>
      <c r="F20" s="169"/>
      <c r="G20" s="168">
        <f>G17-G18</f>
        <v>105971.04999999999</v>
      </c>
      <c r="H20" s="172"/>
      <c r="I20" s="10"/>
    </row>
    <row r="21" spans="2:14" ht="13.5" customHeight="1">
      <c r="B21" s="13"/>
      <c r="C21" s="57"/>
      <c r="D21" s="109"/>
      <c r="E21" s="135"/>
      <c r="I21" s="10"/>
    </row>
    <row r="22" spans="2:14" ht="20.2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74083.7</v>
      </c>
      <c r="N24" s="111">
        <f>M24</f>
        <v>74083.7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1.92</v>
      </c>
      <c r="F25" s="22">
        <f>$M$24/$M$25*E25</f>
        <v>11297.911358220808</v>
      </c>
      <c r="G25" s="23">
        <f>$N$24/$N$25*E25</f>
        <v>11297.911358220808</v>
      </c>
      <c r="H25" s="24">
        <f>F25-G25</f>
        <v>0</v>
      </c>
      <c r="I25" s="25"/>
      <c r="J25" s="25"/>
      <c r="K25" s="138"/>
      <c r="L25" s="26"/>
      <c r="M25" s="112">
        <f>E34-E32</f>
        <v>12.59</v>
      </c>
      <c r="N25" s="112">
        <f>E34-E32</f>
        <v>12.59</v>
      </c>
    </row>
    <row r="26" spans="2:14" ht="56.25">
      <c r="B26" s="27" t="s">
        <v>90</v>
      </c>
      <c r="C26" s="5" t="s">
        <v>111</v>
      </c>
      <c r="D26" s="20" t="s">
        <v>98</v>
      </c>
      <c r="E26" s="6">
        <v>2.0499999999999998</v>
      </c>
      <c r="F26" s="22">
        <f t="shared" ref="F26:F33" si="0">$M$24/$M$25*E26</f>
        <v>12062.874106433675</v>
      </c>
      <c r="G26" s="23">
        <f t="shared" ref="G26:G30" si="1">$N$24/$N$25*E26</f>
        <v>12062.874106433675</v>
      </c>
      <c r="H26" s="24">
        <f t="shared" ref="H26:H31" si="2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si="0"/>
        <v>1882.985226370135</v>
      </c>
      <c r="G27" s="23">
        <f t="shared" si="1"/>
        <v>1882.985226370135</v>
      </c>
      <c r="H27" s="24">
        <f t="shared" si="2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0.5</v>
      </c>
      <c r="F28" s="22">
        <f>($M$24/12*2)/$M$25*E28</f>
        <v>490.36073603388934</v>
      </c>
      <c r="G28" s="23">
        <f>($N$24/12*2)/$N$25*E28</f>
        <v>490.36073603388934</v>
      </c>
      <c r="H28" s="24">
        <f t="shared" si="2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1.18</v>
      </c>
      <c r="F29" s="22">
        <f t="shared" si="0"/>
        <v>6943.5080222398719</v>
      </c>
      <c r="G29" s="23">
        <f t="shared" si="1"/>
        <v>6943.5080222398719</v>
      </c>
      <c r="H29" s="24">
        <f t="shared" si="2"/>
        <v>0</v>
      </c>
      <c r="I29" s="25"/>
      <c r="J29" s="25"/>
    </row>
    <row r="30" spans="2:14" ht="228" customHeight="1">
      <c r="B30" s="27" t="s">
        <v>110</v>
      </c>
      <c r="C30" s="30" t="s">
        <v>101</v>
      </c>
      <c r="D30" s="20" t="s">
        <v>98</v>
      </c>
      <c r="E30" s="6">
        <v>5.61</v>
      </c>
      <c r="F30" s="22">
        <f t="shared" si="0"/>
        <v>33011.084749801426</v>
      </c>
      <c r="G30" s="23">
        <f t="shared" si="1"/>
        <v>33011.084749801426</v>
      </c>
      <c r="H30" s="24">
        <f t="shared" si="2"/>
        <v>0</v>
      </c>
      <c r="I30" s="25"/>
      <c r="J30" s="25"/>
      <c r="K30" s="2"/>
      <c r="L30" s="1"/>
      <c r="M30" s="113"/>
      <c r="N30" s="113"/>
    </row>
    <row r="31" spans="2:14" ht="108.75" customHeight="1">
      <c r="B31" s="27" t="s">
        <v>102</v>
      </c>
      <c r="C31" s="5" t="s">
        <v>111</v>
      </c>
      <c r="D31" s="20" t="s">
        <v>98</v>
      </c>
      <c r="E31" s="6">
        <v>0.19</v>
      </c>
      <c r="F31" s="22">
        <f t="shared" si="0"/>
        <v>1118.0224781572676</v>
      </c>
      <c r="G31" s="23">
        <f t="shared" ref="G31" si="3">$N$24/$N$25*E31</f>
        <v>1118.0224781572676</v>
      </c>
      <c r="H31" s="24">
        <f t="shared" si="2"/>
        <v>0</v>
      </c>
      <c r="I31" s="25"/>
      <c r="J31" s="25"/>
    </row>
    <row r="32" spans="2:14" ht="56.25">
      <c r="B32" s="28" t="s">
        <v>103</v>
      </c>
      <c r="C32" s="5" t="s">
        <v>111</v>
      </c>
      <c r="D32" s="20" t="s">
        <v>98</v>
      </c>
      <c r="E32" s="6">
        <v>3.45</v>
      </c>
      <c r="F32" s="22">
        <v>23026.02</v>
      </c>
      <c r="G32" s="4">
        <v>55190</v>
      </c>
      <c r="H32" s="24">
        <f>F32-G32</f>
        <v>-32163.98</v>
      </c>
      <c r="I32" s="25"/>
      <c r="J32" s="25"/>
      <c r="L32" s="10"/>
    </row>
    <row r="33" spans="2:14" ht="16.5" thickBot="1">
      <c r="B33" s="28" t="s">
        <v>88</v>
      </c>
      <c r="C33" s="63" t="s">
        <v>101</v>
      </c>
      <c r="D33" s="20" t="s">
        <v>98</v>
      </c>
      <c r="E33" s="6">
        <v>0.82</v>
      </c>
      <c r="F33" s="22">
        <f t="shared" si="0"/>
        <v>4825.1496425734704</v>
      </c>
      <c r="G33" s="23">
        <f t="shared" ref="G33" si="4">$N$24/$N$25*E33</f>
        <v>4825.1496425734704</v>
      </c>
      <c r="H33" s="35">
        <f>F33-G33</f>
        <v>0</v>
      </c>
      <c r="I33" s="25"/>
      <c r="J33" s="25"/>
    </row>
    <row r="34" spans="2:14" ht="16.5" thickBot="1">
      <c r="B34" s="64" t="s">
        <v>89</v>
      </c>
      <c r="C34" s="65"/>
      <c r="D34" s="65"/>
      <c r="E34" s="66">
        <f>SUM(E25:E33)</f>
        <v>16.04</v>
      </c>
      <c r="F34" s="67">
        <f>SUM(F25:F33)</f>
        <v>94657.916319830547</v>
      </c>
      <c r="G34" s="68">
        <f>SUM(G25:G33)</f>
        <v>126821.89631983054</v>
      </c>
      <c r="H34" s="41">
        <f>SUM(H25:H33)</f>
        <v>-32163.98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920159.4222662556</v>
      </c>
      <c r="D38" s="150"/>
      <c r="E38" s="153">
        <f>F25+F26+F27+F28+F29+F30+F31+F33+E16</f>
        <v>680663.12226625555</v>
      </c>
      <c r="F38" s="154"/>
      <c r="G38" s="153">
        <f>F32+G16</f>
        <v>239496.30000000002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848319.17999999993</v>
      </c>
      <c r="D39" s="152"/>
      <c r="E39" s="151">
        <f>E17+66030.11</f>
        <v>630022.26</v>
      </c>
      <c r="F39" s="152"/>
      <c r="G39" s="151">
        <f>G17+20522.87</f>
        <v>218296.91999999998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839117.09745272435</v>
      </c>
      <c r="D40" s="152"/>
      <c r="E40" s="164">
        <f>G25+G26+G27+G28+G29+G30+G31+G33+E18</f>
        <v>692124.09745272435</v>
      </c>
      <c r="F40" s="165"/>
      <c r="G40" s="164">
        <f>G32+G18</f>
        <v>146993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7800</v>
      </c>
      <c r="D41" s="162"/>
      <c r="E41" s="161">
        <f>E19</f>
        <v>7800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36.75" thickBot="1">
      <c r="B42" s="11" t="s">
        <v>136</v>
      </c>
      <c r="C42" s="170">
        <f>E42+G42</f>
        <v>17002.082547275641</v>
      </c>
      <c r="D42" s="171"/>
      <c r="E42" s="168">
        <f>E39+E41-E40</f>
        <v>-54301.837452724343</v>
      </c>
      <c r="F42" s="169"/>
      <c r="G42" s="168">
        <f>G39-G40</f>
        <v>71303.919999999984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</sheetData>
  <mergeCells count="61">
    <mergeCell ref="C47:E47"/>
    <mergeCell ref="C49:E49"/>
    <mergeCell ref="M22:M23"/>
    <mergeCell ref="N22:N23"/>
    <mergeCell ref="C37:D37"/>
    <mergeCell ref="C38:D38"/>
    <mergeCell ref="C39:D39"/>
    <mergeCell ref="C40:D40"/>
    <mergeCell ref="C41:D41"/>
    <mergeCell ref="C42:D42"/>
    <mergeCell ref="F46:G46"/>
    <mergeCell ref="F43:G43"/>
    <mergeCell ref="F44:G44"/>
    <mergeCell ref="F45:G45"/>
    <mergeCell ref="E41:F41"/>
    <mergeCell ref="G41:H41"/>
    <mergeCell ref="G40:H40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16:D16"/>
    <mergeCell ref="E16:F16"/>
    <mergeCell ref="G16:H16"/>
    <mergeCell ref="F50:G50"/>
    <mergeCell ref="B2:H3"/>
    <mergeCell ref="D5:E5"/>
    <mergeCell ref="F47:G47"/>
    <mergeCell ref="F49:G49"/>
    <mergeCell ref="B36:H36"/>
    <mergeCell ref="E37:F37"/>
    <mergeCell ref="G37:H37"/>
    <mergeCell ref="E38:F38"/>
    <mergeCell ref="G38:H38"/>
    <mergeCell ref="E39:F39"/>
    <mergeCell ref="G39:H39"/>
    <mergeCell ref="E40:F40"/>
    <mergeCell ref="E42:F42"/>
    <mergeCell ref="G42:H42"/>
    <mergeCell ref="C43:E43"/>
    <mergeCell ref="C45:E45"/>
    <mergeCell ref="B1:H1"/>
    <mergeCell ref="B22:H22"/>
    <mergeCell ref="B23:B24"/>
    <mergeCell ref="C23:C24"/>
    <mergeCell ref="D23:D24"/>
    <mergeCell ref="E23:E24"/>
    <mergeCell ref="F23:G23"/>
    <mergeCell ref="H23:H24"/>
    <mergeCell ref="B14:H14"/>
    <mergeCell ref="C15:D15"/>
    <mergeCell ref="E15:F15"/>
    <mergeCell ref="G15:H15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48"/>
  <sheetViews>
    <sheetView topLeftCell="A31" zoomScale="110" zoomScaleNormal="110" workbookViewId="0">
      <selection activeCell="B1" sqref="B1:H47"/>
    </sheetView>
  </sheetViews>
  <sheetFormatPr defaultColWidth="9.140625" defaultRowHeight="15.75" outlineLevelRow="1"/>
  <cols>
    <col min="1" max="1" width="2.85546875" style="3" customWidth="1"/>
    <col min="2" max="2" width="57.42578125" style="3" customWidth="1"/>
    <col min="3" max="3" width="23.5703125" style="69" customWidth="1"/>
    <col min="4" max="4" width="8.7109375" style="142" customWidth="1"/>
    <col min="5" max="5" width="10.5703125" style="142" customWidth="1"/>
    <col min="6" max="6" width="9.42578125" style="3" customWidth="1"/>
    <col min="7" max="7" width="10.28515625" style="3" customWidth="1"/>
    <col min="8" max="8" width="10.85546875" style="3" customWidth="1"/>
    <col min="9" max="9" width="12.28515625" style="3" customWidth="1"/>
    <col min="10" max="12" width="9.140625" style="3"/>
    <col min="13" max="13" width="13.42578125" style="110" customWidth="1"/>
    <col min="14" max="14" width="15.4257812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8" customHeight="1"/>
    <row r="5" spans="2:9">
      <c r="B5" s="3" t="s">
        <v>0</v>
      </c>
      <c r="D5" s="188" t="s">
        <v>44</v>
      </c>
      <c r="E5" s="188"/>
    </row>
    <row r="6" spans="2:9">
      <c r="B6" s="3" t="s">
        <v>1</v>
      </c>
      <c r="D6" s="135">
        <v>1955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8</v>
      </c>
      <c r="E8" s="135"/>
    </row>
    <row r="9" spans="2:9" ht="30.75" hidden="1" customHeight="1" outlineLevel="1">
      <c r="B9" s="13" t="s">
        <v>4</v>
      </c>
      <c r="C9" s="70"/>
      <c r="D9" s="135" t="s">
        <v>45</v>
      </c>
      <c r="E9" s="135"/>
    </row>
    <row r="10" spans="2:9" collapsed="1">
      <c r="B10" s="3" t="s">
        <v>5</v>
      </c>
      <c r="D10" s="135" t="s">
        <v>123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70"/>
      <c r="D12" s="109" t="s">
        <v>46</v>
      </c>
      <c r="E12" s="135"/>
      <c r="I12" s="10"/>
    </row>
    <row r="13" spans="2:9" ht="10.5" customHeight="1" collapsed="1">
      <c r="B13" s="13"/>
      <c r="C13" s="70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0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611992.29137110687</v>
      </c>
      <c r="D16" s="191"/>
      <c r="E16" s="153">
        <v>433244.93137110694</v>
      </c>
      <c r="F16" s="154"/>
      <c r="G16" s="153">
        <v>178747.36</v>
      </c>
      <c r="H16" s="159"/>
      <c r="I16" s="10"/>
    </row>
    <row r="17" spans="2:14">
      <c r="B17" s="47" t="s">
        <v>13</v>
      </c>
      <c r="C17" s="151">
        <v>613240.52</v>
      </c>
      <c r="D17" s="189"/>
      <c r="E17" s="151">
        <v>436327.88</v>
      </c>
      <c r="F17" s="152"/>
      <c r="G17" s="151">
        <v>176912.63999999998</v>
      </c>
      <c r="H17" s="160"/>
      <c r="I17" s="10"/>
    </row>
    <row r="18" spans="2:14" ht="16.5" thickBot="1">
      <c r="B18" s="49" t="s">
        <v>78</v>
      </c>
      <c r="C18" s="161">
        <v>622048.70287012472</v>
      </c>
      <c r="D18" s="190"/>
      <c r="E18" s="164">
        <v>435130.70287012466</v>
      </c>
      <c r="F18" s="165"/>
      <c r="G18" s="164">
        <v>186918</v>
      </c>
      <c r="H18" s="166"/>
      <c r="I18" s="10"/>
    </row>
    <row r="19" spans="2:14" ht="30.75" customHeight="1" thickBot="1">
      <c r="B19" s="11" t="s">
        <v>135</v>
      </c>
      <c r="C19" s="170">
        <f>E19+G19</f>
        <v>-8808.1828701246704</v>
      </c>
      <c r="D19" s="171"/>
      <c r="E19" s="168">
        <f>E17-E18</f>
        <v>1197.1771298753447</v>
      </c>
      <c r="F19" s="169"/>
      <c r="G19" s="168">
        <f>G17-G18</f>
        <v>-10005.360000000015</v>
      </c>
      <c r="H19" s="172"/>
      <c r="I19" s="10"/>
    </row>
    <row r="20" spans="2:14">
      <c r="B20" s="13"/>
      <c r="C20" s="70"/>
      <c r="D20" s="109"/>
      <c r="E20" s="135"/>
      <c r="I20" s="10"/>
    </row>
    <row r="21" spans="2:14" ht="23.25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58721.16</v>
      </c>
      <c r="N23" s="111">
        <f>M23</f>
        <v>58721.16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10212.375652173914</v>
      </c>
      <c r="G24" s="23">
        <f>$N$23/$N$24*E24</f>
        <v>10212.375652173914</v>
      </c>
      <c r="H24" s="24">
        <f>F24-G24</f>
        <v>0</v>
      </c>
      <c r="I24" s="25"/>
      <c r="J24" s="25"/>
      <c r="K24" s="138"/>
      <c r="L24" s="26"/>
      <c r="M24" s="112">
        <f>E33-E31</f>
        <v>13.109999999999998</v>
      </c>
      <c r="N24" s="112">
        <f>E33-E31</f>
        <v>13.109999999999998</v>
      </c>
    </row>
    <row r="25" spans="2:14" ht="51">
      <c r="B25" s="27" t="s">
        <v>90</v>
      </c>
      <c r="C25" s="5" t="s">
        <v>111</v>
      </c>
      <c r="D25" s="20" t="s">
        <v>98</v>
      </c>
      <c r="E25" s="6">
        <v>2.58</v>
      </c>
      <c r="F25" s="22">
        <f t="shared" ref="F25:F30" si="0">$M$23/$M$24*E25</f>
        <v>11556.109290617851</v>
      </c>
      <c r="G25" s="23">
        <f t="shared" ref="G25:G29" si="1">$N$23/$N$24*E25</f>
        <v>11556.109290617851</v>
      </c>
      <c r="H25" s="24">
        <f t="shared" ref="H25:H30" si="2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si="0"/>
        <v>1433.3158810068653</v>
      </c>
      <c r="G26" s="23">
        <f t="shared" si="1"/>
        <v>1433.3158810068653</v>
      </c>
      <c r="H26" s="24">
        <f t="shared" si="2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0.5</v>
      </c>
      <c r="F27" s="22">
        <f>($M$23/12*2)/$M$24*E27</f>
        <v>373.25934401220451</v>
      </c>
      <c r="G27" s="23">
        <f>($N$23/12*2)/$N$24*E27</f>
        <v>373.25934401220451</v>
      </c>
      <c r="H27" s="24">
        <f t="shared" si="2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1.18</v>
      </c>
      <c r="F28" s="22">
        <f t="shared" si="0"/>
        <v>5285.352311212815</v>
      </c>
      <c r="G28" s="23">
        <f t="shared" si="1"/>
        <v>5285.352311212815</v>
      </c>
      <c r="H28" s="24">
        <f t="shared" si="2"/>
        <v>0</v>
      </c>
      <c r="I28" s="25"/>
      <c r="J28" s="25"/>
    </row>
    <row r="29" spans="2:14" ht="228" customHeight="1">
      <c r="B29" s="27" t="s">
        <v>110</v>
      </c>
      <c r="C29" s="30" t="s">
        <v>101</v>
      </c>
      <c r="D29" s="20" t="s">
        <v>98</v>
      </c>
      <c r="E29" s="6">
        <v>5.61</v>
      </c>
      <c r="F29" s="22">
        <f t="shared" si="0"/>
        <v>25127.819038901609</v>
      </c>
      <c r="G29" s="23">
        <f t="shared" si="1"/>
        <v>25127.819038901609</v>
      </c>
      <c r="H29" s="24">
        <f t="shared" si="2"/>
        <v>0</v>
      </c>
      <c r="I29" s="25"/>
      <c r="J29" s="25"/>
      <c r="K29" s="2"/>
      <c r="L29" s="1"/>
      <c r="M29" s="113"/>
      <c r="N29" s="113"/>
    </row>
    <row r="30" spans="2:14" ht="120" customHeight="1">
      <c r="B30" s="27" t="s">
        <v>102</v>
      </c>
      <c r="C30" s="5" t="s">
        <v>111</v>
      </c>
      <c r="D30" s="20" t="s">
        <v>98</v>
      </c>
      <c r="E30" s="6">
        <v>0.24</v>
      </c>
      <c r="F30" s="22">
        <f t="shared" si="0"/>
        <v>1074.986910755149</v>
      </c>
      <c r="G30" s="23">
        <f t="shared" ref="G30" si="3">$N$23/$N$24*E30</f>
        <v>1074.986910755149</v>
      </c>
      <c r="H30" s="24">
        <f t="shared" si="2"/>
        <v>0</v>
      </c>
      <c r="I30" s="25"/>
      <c r="J30" s="25"/>
    </row>
    <row r="31" spans="2:14" ht="48.75" customHeight="1">
      <c r="B31" s="28" t="s">
        <v>103</v>
      </c>
      <c r="C31" s="5" t="s">
        <v>111</v>
      </c>
      <c r="D31" s="20" t="s">
        <v>98</v>
      </c>
      <c r="E31" s="6">
        <v>3.9</v>
      </c>
      <c r="F31" s="22">
        <v>19879.560000000001</v>
      </c>
      <c r="G31" s="4">
        <v>12000</v>
      </c>
      <c r="H31" s="24">
        <f>F31-G31</f>
        <v>7879.5600000000013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0.4</v>
      </c>
      <c r="F32" s="22">
        <f>$M$23/$M$24*E32</f>
        <v>1791.6448512585816</v>
      </c>
      <c r="G32" s="23">
        <f t="shared" ref="G32" si="4">$N$23/$N$24*E32</f>
        <v>1791.6448512585816</v>
      </c>
      <c r="H32" s="35">
        <f>F32-G32</f>
        <v>0</v>
      </c>
      <c r="I32" s="25"/>
      <c r="J32" s="25"/>
    </row>
    <row r="33" spans="2:14" ht="16.5" thickBot="1">
      <c r="B33" s="36" t="s">
        <v>89</v>
      </c>
      <c r="C33" s="37"/>
      <c r="D33" s="37"/>
      <c r="E33" s="38">
        <f>SUM(E24:E32)</f>
        <v>17.009999999999998</v>
      </c>
      <c r="F33" s="39">
        <f>SUM(F24:F32)</f>
        <v>76734.423279938987</v>
      </c>
      <c r="G33" s="40">
        <f>SUM(G24:G32)</f>
        <v>68854.863279938989</v>
      </c>
      <c r="H33" s="41">
        <f>SUM(H24:H32)</f>
        <v>7879.5600000000013</v>
      </c>
      <c r="I33" s="42"/>
      <c r="J33" s="42"/>
    </row>
    <row r="34" spans="2:14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45"/>
      <c r="L36" s="46"/>
      <c r="M36" s="114"/>
      <c r="N36" s="114"/>
    </row>
    <row r="37" spans="2:14">
      <c r="B37" s="95" t="s">
        <v>12</v>
      </c>
      <c r="C37" s="149">
        <f>E37+G37</f>
        <v>688726.71465104586</v>
      </c>
      <c r="D37" s="150"/>
      <c r="E37" s="153">
        <f>F24+F25+F26+F27+F28+F29+F30+F32+E16</f>
        <v>490099.79465104593</v>
      </c>
      <c r="F37" s="154"/>
      <c r="G37" s="153">
        <f>F31+G16</f>
        <v>198626.91999999998</v>
      </c>
      <c r="H37" s="159"/>
      <c r="I37" s="48"/>
      <c r="J37" s="48"/>
      <c r="K37" s="7"/>
      <c r="L37" s="7"/>
      <c r="M37" s="115"/>
    </row>
    <row r="38" spans="2:14">
      <c r="B38" s="47" t="s">
        <v>13</v>
      </c>
      <c r="C38" s="151">
        <f>E38+G38</f>
        <v>688549.22</v>
      </c>
      <c r="D38" s="152"/>
      <c r="E38" s="151">
        <f>E17+56261.75</f>
        <v>492589.63</v>
      </c>
      <c r="F38" s="152"/>
      <c r="G38" s="151">
        <f>G17+19046.95</f>
        <v>195959.59</v>
      </c>
      <c r="H38" s="160"/>
      <c r="I38" s="48"/>
      <c r="J38" s="48"/>
      <c r="K38" s="9"/>
      <c r="L38" s="7"/>
      <c r="M38" s="115"/>
    </row>
    <row r="39" spans="2:14" ht="16.5" thickBot="1">
      <c r="B39" s="49" t="s">
        <v>78</v>
      </c>
      <c r="C39" s="161">
        <f>E39+G39</f>
        <v>690903.56615006365</v>
      </c>
      <c r="D39" s="162"/>
      <c r="E39" s="164">
        <f>G24+G25+G26+G27+G28+G29+G30+G32+E18</f>
        <v>491985.56615006365</v>
      </c>
      <c r="F39" s="165"/>
      <c r="G39" s="164">
        <f>G31+G18</f>
        <v>198918</v>
      </c>
      <c r="H39" s="166"/>
      <c r="I39" s="48"/>
      <c r="J39" s="48"/>
      <c r="K39" s="50"/>
      <c r="L39" s="50"/>
    </row>
    <row r="40" spans="2:14" ht="32.25" customHeight="1" thickBot="1">
      <c r="B40" s="11" t="s">
        <v>136</v>
      </c>
      <c r="C40" s="170">
        <f>E40+G40</f>
        <v>-2354.3461500636477</v>
      </c>
      <c r="D40" s="171"/>
      <c r="E40" s="168">
        <f>E38-E39</f>
        <v>604.06384993635584</v>
      </c>
      <c r="F40" s="169"/>
      <c r="G40" s="168">
        <f>G38-G39</f>
        <v>-2958.4100000000035</v>
      </c>
      <c r="H40" s="172"/>
      <c r="I40" s="48"/>
      <c r="J40" s="48"/>
      <c r="K40" s="50"/>
      <c r="L40" s="50"/>
    </row>
    <row r="41" spans="2:14" ht="34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2"/>
      <c r="L41" s="2"/>
      <c r="M41" s="113"/>
      <c r="N41" s="113"/>
    </row>
    <row r="42" spans="2:14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2"/>
      <c r="L43" s="2"/>
      <c r="M43" s="113"/>
      <c r="N43" s="113"/>
    </row>
    <row r="44" spans="2:14" ht="9.75" customHeight="1">
      <c r="B44" s="132"/>
      <c r="C44" s="132"/>
      <c r="D44" s="132"/>
      <c r="E44" s="133"/>
      <c r="F44" s="167"/>
      <c r="G44" s="167"/>
      <c r="H44" s="132"/>
      <c r="I44" s="132"/>
      <c r="J44" s="132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4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4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4" ht="9" customHeight="1">
      <c r="B48" s="55"/>
      <c r="C48" s="55"/>
      <c r="D48" s="55"/>
      <c r="E48" s="133"/>
      <c r="F48" s="173"/>
      <c r="G48" s="173"/>
    </row>
  </sheetData>
  <mergeCells count="55">
    <mergeCell ref="M21:M22"/>
    <mergeCell ref="N21:N22"/>
    <mergeCell ref="B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F47:G47"/>
    <mergeCell ref="E40:F40"/>
    <mergeCell ref="F48:G48"/>
    <mergeCell ref="G40:H40"/>
    <mergeCell ref="F41:G41"/>
    <mergeCell ref="F42:G42"/>
    <mergeCell ref="F43:G43"/>
    <mergeCell ref="F44:G44"/>
    <mergeCell ref="F45:G45"/>
    <mergeCell ref="C41:E41"/>
    <mergeCell ref="C43:E43"/>
    <mergeCell ref="C45:E45"/>
    <mergeCell ref="C47:E47"/>
    <mergeCell ref="C40:D40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E19:F19"/>
    <mergeCell ref="G19:H19"/>
    <mergeCell ref="B35:H35"/>
    <mergeCell ref="G36:H36"/>
    <mergeCell ref="G37:H37"/>
    <mergeCell ref="G38:H38"/>
    <mergeCell ref="G39:H39"/>
    <mergeCell ref="E36:F36"/>
    <mergeCell ref="E37:F37"/>
    <mergeCell ref="E38:F38"/>
    <mergeCell ref="E39:F39"/>
    <mergeCell ref="C36:D36"/>
    <mergeCell ref="C37:D37"/>
    <mergeCell ref="C38:D38"/>
    <mergeCell ref="C39:D39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8"/>
  <sheetViews>
    <sheetView topLeftCell="A31" zoomScale="110" zoomScaleNormal="110" workbookViewId="0">
      <selection activeCell="B1" sqref="B1:H47"/>
    </sheetView>
  </sheetViews>
  <sheetFormatPr defaultColWidth="9.140625" defaultRowHeight="15.75" outlineLevelRow="1"/>
  <cols>
    <col min="1" max="1" width="2.85546875" style="3" customWidth="1"/>
    <col min="2" max="2" width="57.7109375" style="3" customWidth="1"/>
    <col min="3" max="3" width="22.140625" style="141" customWidth="1"/>
    <col min="4" max="4" width="8.5703125" style="142" customWidth="1"/>
    <col min="5" max="5" width="10.28515625" style="142" customWidth="1"/>
    <col min="6" max="6" width="9.5703125" style="3" customWidth="1"/>
    <col min="7" max="7" width="10.42578125" style="3" customWidth="1"/>
    <col min="8" max="8" width="10.5703125" style="3" customWidth="1"/>
    <col min="9" max="9" width="12.28515625" style="3" customWidth="1"/>
    <col min="10" max="12" width="9.140625" style="3"/>
    <col min="13" max="13" width="13.5703125" style="110" customWidth="1"/>
    <col min="14" max="14" width="16.14062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2.75" customHeight="1"/>
    <row r="5" spans="1:9">
      <c r="B5" s="90" t="s">
        <v>0</v>
      </c>
      <c r="C5" s="103"/>
      <c r="D5" s="194" t="s">
        <v>47</v>
      </c>
      <c r="E5" s="194"/>
      <c r="F5" s="90"/>
    </row>
    <row r="6" spans="1:9">
      <c r="B6" s="90" t="s">
        <v>1</v>
      </c>
      <c r="C6" s="103"/>
      <c r="D6" s="136">
        <v>1958</v>
      </c>
      <c r="E6" s="136"/>
      <c r="F6" s="90"/>
    </row>
    <row r="7" spans="1:9" hidden="1" outlineLevel="1">
      <c r="B7" s="90" t="s">
        <v>2</v>
      </c>
      <c r="C7" s="103"/>
      <c r="D7" s="136">
        <v>2</v>
      </c>
      <c r="E7" s="136"/>
      <c r="F7" s="90"/>
    </row>
    <row r="8" spans="1:9" hidden="1" outlineLevel="1">
      <c r="B8" s="90" t="s">
        <v>3</v>
      </c>
      <c r="C8" s="103"/>
      <c r="D8" s="136">
        <v>12</v>
      </c>
      <c r="E8" s="136"/>
      <c r="F8" s="90"/>
    </row>
    <row r="9" spans="1:9" ht="30.75" hidden="1" customHeight="1" outlineLevel="1">
      <c r="B9" s="92" t="s">
        <v>4</v>
      </c>
      <c r="C9" s="104"/>
      <c r="D9" s="136" t="s">
        <v>48</v>
      </c>
      <c r="E9" s="136"/>
      <c r="F9" s="90"/>
    </row>
    <row r="10" spans="1:9" collapsed="1">
      <c r="B10" s="90" t="s">
        <v>5</v>
      </c>
      <c r="C10" s="103"/>
      <c r="D10" s="136" t="s">
        <v>124</v>
      </c>
      <c r="E10" s="136"/>
      <c r="F10" s="90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14"/>
      <c r="D12" s="109" t="s">
        <v>49</v>
      </c>
      <c r="E12" s="135"/>
      <c r="I12" s="10"/>
    </row>
    <row r="13" spans="1:9" ht="9.75" customHeight="1" collapsed="1">
      <c r="B13" s="13"/>
      <c r="C13" s="14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3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836761.94987544441</v>
      </c>
      <c r="D16" s="191"/>
      <c r="E16" s="153">
        <v>661040.84987544443</v>
      </c>
      <c r="F16" s="154"/>
      <c r="G16" s="153">
        <v>175721.09999999998</v>
      </c>
      <c r="H16" s="159"/>
      <c r="I16" s="10"/>
    </row>
    <row r="17" spans="2:14">
      <c r="B17" s="47" t="s">
        <v>13</v>
      </c>
      <c r="C17" s="151">
        <v>667418.02</v>
      </c>
      <c r="D17" s="189"/>
      <c r="E17" s="151">
        <v>521846.19999999995</v>
      </c>
      <c r="F17" s="152"/>
      <c r="G17" s="151">
        <v>145571.82</v>
      </c>
      <c r="H17" s="160"/>
      <c r="I17" s="10"/>
    </row>
    <row r="18" spans="2:14" ht="16.5" thickBot="1">
      <c r="B18" s="49" t="s">
        <v>78</v>
      </c>
      <c r="C18" s="161">
        <v>799037.51615006558</v>
      </c>
      <c r="D18" s="190"/>
      <c r="E18" s="164">
        <v>671721.51615006558</v>
      </c>
      <c r="F18" s="165"/>
      <c r="G18" s="164">
        <v>127316</v>
      </c>
      <c r="H18" s="166"/>
      <c r="I18" s="10"/>
    </row>
    <row r="19" spans="2:14" ht="28.5" customHeight="1" thickBot="1">
      <c r="B19" s="11" t="s">
        <v>135</v>
      </c>
      <c r="C19" s="170">
        <f>E19+G19</f>
        <v>-131619.49615006562</v>
      </c>
      <c r="D19" s="171"/>
      <c r="E19" s="168">
        <f>E17-E18</f>
        <v>-149875.31615006563</v>
      </c>
      <c r="F19" s="169"/>
      <c r="G19" s="168">
        <f>G17-G18</f>
        <v>18255.820000000007</v>
      </c>
      <c r="H19" s="172"/>
      <c r="I19" s="10"/>
    </row>
    <row r="20" spans="2:14" ht="9.75" customHeight="1">
      <c r="B20" s="13"/>
      <c r="C20" s="14"/>
      <c r="D20" s="109"/>
      <c r="E20" s="135"/>
      <c r="I20" s="10"/>
    </row>
    <row r="21" spans="2:14" ht="17.25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81557.350000000006</v>
      </c>
      <c r="N23" s="111">
        <f>M23</f>
        <v>81557.350000000006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1.42</v>
      </c>
      <c r="F24" s="22">
        <f>$M$23/$M$24*E24</f>
        <v>10132.234208223972</v>
      </c>
      <c r="G24" s="23">
        <f>$N$23/$N$24*E24</f>
        <v>10132.234208223972</v>
      </c>
      <c r="H24" s="24">
        <f>F24-G24</f>
        <v>0</v>
      </c>
      <c r="I24" s="25"/>
      <c r="J24" s="25"/>
      <c r="K24" s="138"/>
      <c r="L24" s="26"/>
      <c r="M24" s="112">
        <f>E33-E31</f>
        <v>11.43</v>
      </c>
      <c r="N24" s="112">
        <f>E33-E31</f>
        <v>11.43</v>
      </c>
    </row>
    <row r="25" spans="2:14" ht="56.25">
      <c r="B25" s="27" t="s">
        <v>90</v>
      </c>
      <c r="C25" s="5" t="s">
        <v>111</v>
      </c>
      <c r="D25" s="20" t="s">
        <v>98</v>
      </c>
      <c r="E25" s="6">
        <v>1.55</v>
      </c>
      <c r="F25" s="22">
        <f t="shared" ref="F25:F32" si="0">$M$23/$M$24*E25</f>
        <v>11059.833114610674</v>
      </c>
      <c r="G25" s="23">
        <f t="shared" ref="G25:G29" si="1">$N$23/$N$24*E25</f>
        <v>11059.833114610674</v>
      </c>
      <c r="H25" s="24">
        <f t="shared" ref="H25:H30" si="2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si="0"/>
        <v>2283.3203849518814</v>
      </c>
      <c r="G26" s="23">
        <f t="shared" si="1"/>
        <v>2283.3203849518814</v>
      </c>
      <c r="H26" s="24">
        <f t="shared" si="2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0.5</v>
      </c>
      <c r="F27" s="22">
        <f>($M$23/12*2)/$M$24*E27</f>
        <v>594.61468358121908</v>
      </c>
      <c r="G27" s="23">
        <f>($N$23/12*2)/$N$24*E27</f>
        <v>594.61468358121908</v>
      </c>
      <c r="H27" s="24">
        <f t="shared" si="2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1.18</v>
      </c>
      <c r="F28" s="22">
        <f t="shared" si="0"/>
        <v>8419.7439195100615</v>
      </c>
      <c r="G28" s="23">
        <f t="shared" si="1"/>
        <v>8419.7439195100615</v>
      </c>
      <c r="H28" s="24">
        <f t="shared" si="2"/>
        <v>0</v>
      </c>
      <c r="I28" s="25"/>
      <c r="J28" s="25"/>
    </row>
    <row r="29" spans="2:14" ht="213.75" customHeight="1">
      <c r="B29" s="27" t="s">
        <v>110</v>
      </c>
      <c r="C29" s="30" t="s">
        <v>101</v>
      </c>
      <c r="D29" s="20" t="s">
        <v>98</v>
      </c>
      <c r="E29" s="6">
        <v>5.61</v>
      </c>
      <c r="F29" s="22">
        <f t="shared" si="0"/>
        <v>40029.460498687666</v>
      </c>
      <c r="G29" s="23">
        <f t="shared" si="1"/>
        <v>40029.460498687666</v>
      </c>
      <c r="H29" s="24">
        <f t="shared" si="2"/>
        <v>0</v>
      </c>
      <c r="I29" s="25"/>
      <c r="J29" s="25"/>
      <c r="K29" s="2"/>
      <c r="L29" s="1"/>
      <c r="M29" s="113"/>
      <c r="N29" s="113"/>
    </row>
    <row r="30" spans="2:14" ht="106.5" customHeight="1">
      <c r="B30" s="27" t="s">
        <v>102</v>
      </c>
      <c r="C30" s="5" t="s">
        <v>111</v>
      </c>
      <c r="D30" s="20" t="s">
        <v>98</v>
      </c>
      <c r="E30" s="6">
        <v>0.19</v>
      </c>
      <c r="F30" s="22">
        <f t="shared" si="0"/>
        <v>1355.7214785651795</v>
      </c>
      <c r="G30" s="23">
        <f>$N$23/$N$24*E30</f>
        <v>1355.7214785651795</v>
      </c>
      <c r="H30" s="24">
        <f t="shared" si="2"/>
        <v>0</v>
      </c>
      <c r="I30" s="25"/>
      <c r="J30" s="25"/>
    </row>
    <row r="31" spans="2:14" ht="52.5" customHeight="1">
      <c r="B31" s="28" t="s">
        <v>103</v>
      </c>
      <c r="C31" s="5" t="s">
        <v>111</v>
      </c>
      <c r="D31" s="20" t="s">
        <v>98</v>
      </c>
      <c r="E31" s="6">
        <v>2.7</v>
      </c>
      <c r="F31" s="22">
        <v>21780.89</v>
      </c>
      <c r="G31" s="4">
        <v>908</v>
      </c>
      <c r="H31" s="24">
        <f>F31-G31</f>
        <v>20872.89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0.66</v>
      </c>
      <c r="F32" s="22">
        <f t="shared" si="0"/>
        <v>4709.3482939632549</v>
      </c>
      <c r="G32" s="23">
        <f t="shared" ref="G32" si="3">$N$23/$N$24*E32</f>
        <v>4709.3482939632549</v>
      </c>
      <c r="H32" s="35">
        <f>F32-G32</f>
        <v>0</v>
      </c>
      <c r="I32" s="25"/>
      <c r="J32" s="25"/>
    </row>
    <row r="33" spans="2:14" ht="16.5" thickBot="1">
      <c r="B33" s="36" t="s">
        <v>89</v>
      </c>
      <c r="C33" s="37"/>
      <c r="D33" s="37"/>
      <c r="E33" s="38">
        <f>SUM(E24:E32)</f>
        <v>14.129999999999999</v>
      </c>
      <c r="F33" s="39">
        <f>SUM(F24:F32)</f>
        <v>100365.16658209389</v>
      </c>
      <c r="G33" s="40">
        <f>SUM(G24:G32)</f>
        <v>79492.276582093895</v>
      </c>
      <c r="H33" s="41">
        <f>SUM(H24:H32)</f>
        <v>20872.89</v>
      </c>
      <c r="I33" s="42"/>
      <c r="J33" s="42"/>
    </row>
    <row r="34" spans="2:14" ht="7.5" customHeight="1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45"/>
      <c r="L36" s="46"/>
      <c r="M36" s="114"/>
      <c r="N36" s="114"/>
    </row>
    <row r="37" spans="2:14">
      <c r="B37" s="95" t="s">
        <v>12</v>
      </c>
      <c r="C37" s="149">
        <f>E37+G37</f>
        <v>937127.11645753833</v>
      </c>
      <c r="D37" s="150"/>
      <c r="E37" s="153">
        <f>F24+F25+F26+F27+F28+F29+F30+F32+E16</f>
        <v>739625.12645753834</v>
      </c>
      <c r="F37" s="154"/>
      <c r="G37" s="153">
        <f>F31+G16</f>
        <v>197501.99</v>
      </c>
      <c r="H37" s="159"/>
      <c r="I37" s="48"/>
      <c r="J37" s="48"/>
      <c r="K37" s="7"/>
      <c r="L37" s="7"/>
      <c r="M37" s="115"/>
    </row>
    <row r="38" spans="2:14">
      <c r="B38" s="47" t="s">
        <v>13</v>
      </c>
      <c r="C38" s="151">
        <f>E38+G38</f>
        <v>741151.7</v>
      </c>
      <c r="D38" s="152"/>
      <c r="E38" s="151">
        <f>E17+58192.62</f>
        <v>580038.81999999995</v>
      </c>
      <c r="F38" s="152"/>
      <c r="G38" s="151">
        <f>G17+15541.06</f>
        <v>161112.88</v>
      </c>
      <c r="H38" s="160"/>
      <c r="I38" s="48"/>
      <c r="J38" s="48"/>
      <c r="K38" s="9"/>
      <c r="L38" s="7"/>
      <c r="M38" s="115"/>
    </row>
    <row r="39" spans="2:14" ht="16.5" thickBot="1">
      <c r="B39" s="49" t="s">
        <v>78</v>
      </c>
      <c r="C39" s="161">
        <f>E39+G39</f>
        <v>878529.79273215949</v>
      </c>
      <c r="D39" s="162"/>
      <c r="E39" s="164">
        <f>G24+G25+G26+G27+G28+G29+G30+G32+E18</f>
        <v>750305.79273215949</v>
      </c>
      <c r="F39" s="165"/>
      <c r="G39" s="164">
        <f>G31+G18</f>
        <v>128224</v>
      </c>
      <c r="H39" s="166"/>
      <c r="I39" s="48"/>
      <c r="J39" s="48"/>
      <c r="K39" s="50"/>
      <c r="L39" s="50"/>
    </row>
    <row r="40" spans="2:14" ht="25.5" thickBot="1">
      <c r="B40" s="11" t="s">
        <v>136</v>
      </c>
      <c r="C40" s="170">
        <f>E40+G40</f>
        <v>-137378.09273215954</v>
      </c>
      <c r="D40" s="171"/>
      <c r="E40" s="168">
        <f>E38-E39</f>
        <v>-170266.97273215954</v>
      </c>
      <c r="F40" s="169"/>
      <c r="G40" s="168">
        <f>G38-G39</f>
        <v>32888.880000000005</v>
      </c>
      <c r="H40" s="172"/>
      <c r="I40" s="48"/>
      <c r="J40" s="48"/>
      <c r="K40" s="50"/>
      <c r="L40" s="50"/>
    </row>
    <row r="41" spans="2:14" ht="24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2"/>
      <c r="L41" s="2"/>
      <c r="M41" s="113"/>
      <c r="N41" s="113"/>
    </row>
    <row r="42" spans="2:14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2"/>
      <c r="L42" s="2"/>
      <c r="M42" s="113"/>
      <c r="N42" s="113"/>
    </row>
    <row r="43" spans="2:14" ht="12.75" customHeight="1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2"/>
      <c r="L43" s="2"/>
      <c r="M43" s="113"/>
      <c r="N43" s="113"/>
    </row>
    <row r="44" spans="2:14" ht="9.75" customHeight="1">
      <c r="B44" s="132"/>
      <c r="C44" s="132"/>
      <c r="D44" s="132"/>
      <c r="E44" s="133"/>
      <c r="F44" s="167"/>
      <c r="G44" s="167"/>
      <c r="H44" s="132"/>
      <c r="I44" s="132"/>
      <c r="J44" s="132"/>
    </row>
    <row r="45" spans="2:14" ht="15" customHeight="1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4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4" ht="12.75" customHeight="1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4" ht="9" customHeight="1">
      <c r="B48" s="55"/>
      <c r="C48" s="55"/>
      <c r="D48" s="55"/>
      <c r="E48" s="133"/>
      <c r="F48" s="173"/>
      <c r="G48" s="173"/>
    </row>
  </sheetData>
  <mergeCells count="55"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F47:G47"/>
    <mergeCell ref="F48:G48"/>
    <mergeCell ref="E37:F37"/>
    <mergeCell ref="F44:G44"/>
    <mergeCell ref="E38:F38"/>
    <mergeCell ref="F45:G45"/>
    <mergeCell ref="F41:G41"/>
    <mergeCell ref="F42:G42"/>
    <mergeCell ref="F43:G43"/>
    <mergeCell ref="G37:H37"/>
    <mergeCell ref="G38:H38"/>
    <mergeCell ref="G39:H39"/>
    <mergeCell ref="G40:H40"/>
    <mergeCell ref="C41:E41"/>
    <mergeCell ref="C43:E43"/>
    <mergeCell ref="C47:E47"/>
    <mergeCell ref="C45:E45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39:D39"/>
    <mergeCell ref="C40:D40"/>
    <mergeCell ref="E39:F39"/>
    <mergeCell ref="E40:F40"/>
    <mergeCell ref="E16:F16"/>
    <mergeCell ref="M21:M22"/>
    <mergeCell ref="N21:N22"/>
    <mergeCell ref="C36:D36"/>
    <mergeCell ref="C37:D37"/>
    <mergeCell ref="C38:D38"/>
    <mergeCell ref="E36:F36"/>
    <mergeCell ref="B35:H35"/>
    <mergeCell ref="G36:H36"/>
  </mergeCells>
  <printOptions horizontalCentered="1"/>
  <pageMargins left="0.19685039370078741" right="0.19685039370078741" top="0.17" bottom="0.24" header="0.16" footer="0.24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3"/>
  <sheetViews>
    <sheetView topLeftCell="A32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3" customWidth="1"/>
    <col min="2" max="2" width="56" style="3" customWidth="1"/>
    <col min="3" max="3" width="23.7109375" style="141" customWidth="1"/>
    <col min="4" max="4" width="9.28515625" style="142" customWidth="1"/>
    <col min="5" max="5" width="9.5703125" style="142" customWidth="1"/>
    <col min="6" max="6" width="10.42578125" style="3" customWidth="1"/>
    <col min="7" max="7" width="10.28515625" style="3" customWidth="1"/>
    <col min="8" max="11" width="11" style="3" customWidth="1"/>
    <col min="12" max="12" width="9.140625" style="3"/>
    <col min="13" max="13" width="14.28515625" style="110" customWidth="1"/>
    <col min="14" max="14" width="13.28515625" style="110" customWidth="1"/>
    <col min="15" max="16384" width="9.140625" style="3"/>
  </cols>
  <sheetData>
    <row r="1" spans="2:11" ht="19.5" customHeight="1">
      <c r="B1" s="175" t="s">
        <v>106</v>
      </c>
      <c r="C1" s="175"/>
      <c r="D1" s="175"/>
      <c r="E1" s="175"/>
      <c r="F1" s="175"/>
      <c r="G1" s="175"/>
      <c r="H1" s="175"/>
      <c r="I1" s="139"/>
      <c r="J1" s="139"/>
      <c r="K1" s="139"/>
    </row>
    <row r="2" spans="2:11" ht="20.25" customHeight="1">
      <c r="B2" s="176" t="s">
        <v>156</v>
      </c>
      <c r="C2" s="176"/>
      <c r="D2" s="176"/>
      <c r="E2" s="176"/>
      <c r="F2" s="176"/>
      <c r="G2" s="176"/>
      <c r="H2" s="176"/>
      <c r="I2" s="140"/>
      <c r="J2" s="140"/>
      <c r="K2" s="140"/>
    </row>
    <row r="3" spans="2:11" ht="23.25" customHeight="1">
      <c r="B3" s="176"/>
      <c r="C3" s="176"/>
      <c r="D3" s="176"/>
      <c r="E3" s="176"/>
      <c r="F3" s="176"/>
      <c r="G3" s="176"/>
      <c r="H3" s="176"/>
      <c r="I3" s="140"/>
      <c r="J3" s="140"/>
      <c r="K3" s="140"/>
    </row>
    <row r="4" spans="2:11" ht="9.75" customHeight="1"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2:11">
      <c r="B5" s="3" t="s">
        <v>0</v>
      </c>
      <c r="D5" s="188" t="s">
        <v>50</v>
      </c>
      <c r="E5" s="188"/>
    </row>
    <row r="6" spans="2:11">
      <c r="B6" s="3" t="s">
        <v>1</v>
      </c>
      <c r="D6" s="135">
        <v>1972</v>
      </c>
      <c r="E6" s="135"/>
    </row>
    <row r="7" spans="2:11" hidden="1" outlineLevel="1">
      <c r="B7" s="3" t="s">
        <v>2</v>
      </c>
      <c r="D7" s="135">
        <v>2</v>
      </c>
      <c r="E7" s="135"/>
    </row>
    <row r="8" spans="2:11" hidden="1" outlineLevel="1">
      <c r="B8" s="3" t="s">
        <v>3</v>
      </c>
      <c r="D8" s="135">
        <v>16</v>
      </c>
      <c r="E8" s="135"/>
    </row>
    <row r="9" spans="2:11" ht="30.75" hidden="1" customHeight="1" outlineLevel="1">
      <c r="B9" s="13" t="s">
        <v>4</v>
      </c>
      <c r="C9" s="14"/>
      <c r="D9" s="135" t="s">
        <v>51</v>
      </c>
      <c r="E9" s="135"/>
    </row>
    <row r="10" spans="2:11" collapsed="1">
      <c r="B10" s="3" t="s">
        <v>5</v>
      </c>
      <c r="D10" s="135" t="s">
        <v>125</v>
      </c>
      <c r="E10" s="135"/>
    </row>
    <row r="11" spans="2:11" hidden="1" outlineLevel="1">
      <c r="B11" s="3" t="s">
        <v>6</v>
      </c>
      <c r="D11" s="135" t="s">
        <v>7</v>
      </c>
      <c r="E11" s="135"/>
    </row>
    <row r="12" spans="2:11" ht="30.75" hidden="1" customHeight="1" outlineLevel="1">
      <c r="B12" s="13" t="s">
        <v>8</v>
      </c>
      <c r="C12" s="14"/>
      <c r="D12" s="109" t="s">
        <v>52</v>
      </c>
      <c r="E12" s="135"/>
    </row>
    <row r="13" spans="2:11" ht="7.5" customHeight="1" collapsed="1">
      <c r="B13" s="13"/>
      <c r="C13" s="14"/>
      <c r="D13" s="109"/>
      <c r="E13" s="135"/>
    </row>
    <row r="14" spans="2:11" ht="16.5" thickBot="1">
      <c r="B14" s="155" t="s">
        <v>149</v>
      </c>
      <c r="C14" s="155"/>
      <c r="D14" s="155"/>
      <c r="E14" s="155"/>
      <c r="F14" s="155"/>
      <c r="G14" s="155"/>
      <c r="H14" s="155"/>
    </row>
    <row r="15" spans="2:11" ht="46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</row>
    <row r="16" spans="2:11">
      <c r="B16" s="95" t="s">
        <v>12</v>
      </c>
      <c r="C16" s="149">
        <v>1349596.6954192894</v>
      </c>
      <c r="D16" s="191"/>
      <c r="E16" s="153">
        <v>1292462.8554192893</v>
      </c>
      <c r="F16" s="154"/>
      <c r="G16" s="153">
        <v>57133.84</v>
      </c>
      <c r="H16" s="159"/>
    </row>
    <row r="17" spans="2:14">
      <c r="B17" s="47" t="s">
        <v>13</v>
      </c>
      <c r="C17" s="151">
        <v>687418.69000000006</v>
      </c>
      <c r="D17" s="189"/>
      <c r="E17" s="151">
        <v>633007.08000000007</v>
      </c>
      <c r="F17" s="152"/>
      <c r="G17" s="151">
        <v>54411.61</v>
      </c>
      <c r="H17" s="160"/>
    </row>
    <row r="18" spans="2:14">
      <c r="B18" s="49" t="s">
        <v>78</v>
      </c>
      <c r="C18" s="151">
        <v>1135530.2247212341</v>
      </c>
      <c r="D18" s="189"/>
      <c r="E18" s="164">
        <v>1087932.2247212341</v>
      </c>
      <c r="F18" s="165"/>
      <c r="G18" s="164">
        <v>47598</v>
      </c>
      <c r="H18" s="166"/>
    </row>
    <row r="19" spans="2:14" ht="16.5" thickBot="1">
      <c r="B19" s="59" t="s">
        <v>134</v>
      </c>
      <c r="C19" s="161">
        <v>7800</v>
      </c>
      <c r="D19" s="190"/>
      <c r="E19" s="161">
        <v>7800</v>
      </c>
      <c r="F19" s="162"/>
      <c r="G19" s="161">
        <v>0</v>
      </c>
      <c r="H19" s="192"/>
    </row>
    <row r="20" spans="2:14" ht="30.75" customHeight="1" thickBot="1">
      <c r="B20" s="11" t="s">
        <v>135</v>
      </c>
      <c r="C20" s="170">
        <f>E20+G20</f>
        <v>-440311.534721234</v>
      </c>
      <c r="D20" s="171"/>
      <c r="E20" s="168">
        <f>E17+E19-E18</f>
        <v>-447125.14472123398</v>
      </c>
      <c r="F20" s="169"/>
      <c r="G20" s="168">
        <f>G17-G18</f>
        <v>6813.6100000000006</v>
      </c>
      <c r="H20" s="172"/>
    </row>
    <row r="21" spans="2:14">
      <c r="B21" s="13"/>
      <c r="C21" s="14"/>
      <c r="D21" s="109"/>
      <c r="E21" s="135"/>
    </row>
    <row r="22" spans="2:14" ht="23.2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K22" s="15"/>
      <c r="L22" s="10"/>
      <c r="M22" s="145" t="s">
        <v>137</v>
      </c>
      <c r="N22" s="145" t="s">
        <v>138</v>
      </c>
    </row>
    <row r="23" spans="2:14" ht="33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K23" s="16"/>
      <c r="L23" s="10"/>
      <c r="M23" s="146"/>
      <c r="N23" s="146"/>
    </row>
    <row r="24" spans="2:14" ht="42.7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K24" s="16"/>
      <c r="M24" s="111">
        <v>89247.91</v>
      </c>
      <c r="N24" s="111">
        <f>M24</f>
        <v>89247.91</v>
      </c>
    </row>
    <row r="25" spans="2:14" ht="45">
      <c r="B25" s="71" t="s">
        <v>96</v>
      </c>
      <c r="C25" s="5" t="s">
        <v>111</v>
      </c>
      <c r="D25" s="20" t="s">
        <v>98</v>
      </c>
      <c r="E25" s="21">
        <v>1.92</v>
      </c>
      <c r="F25" s="22">
        <f>$M$24/$M$25*E25</f>
        <v>14173.36535980149</v>
      </c>
      <c r="G25" s="23">
        <f>$N$24/$N$25*E25</f>
        <v>11508.125399597044</v>
      </c>
      <c r="H25" s="24">
        <f>F25-G25</f>
        <v>2665.2399602044461</v>
      </c>
      <c r="I25" s="25"/>
      <c r="J25" s="25"/>
      <c r="K25" s="25"/>
      <c r="L25" s="26"/>
      <c r="M25" s="112">
        <f>E35-E33-E32</f>
        <v>12.09</v>
      </c>
      <c r="N25" s="112">
        <f>E35-E33</f>
        <v>14.89</v>
      </c>
    </row>
    <row r="26" spans="2:14" ht="51.75">
      <c r="B26" s="73" t="s">
        <v>90</v>
      </c>
      <c r="C26" s="5" t="s">
        <v>111</v>
      </c>
      <c r="D26" s="20" t="s">
        <v>98</v>
      </c>
      <c r="E26" s="6">
        <v>2.0499999999999998</v>
      </c>
      <c r="F26" s="22">
        <f t="shared" ref="F26:F34" si="0">$M$24/$M$25*E26</f>
        <v>15133.020306038048</v>
      </c>
      <c r="G26" s="23">
        <f t="shared" ref="G26:G30" si="1">$N$24/$N$25*E26</f>
        <v>12287.32139019476</v>
      </c>
      <c r="H26" s="24">
        <f t="shared" ref="H26:H31" si="2">F26-G26</f>
        <v>2845.698915843288</v>
      </c>
      <c r="I26" s="25"/>
      <c r="J26" s="25"/>
      <c r="K26" s="25"/>
      <c r="L26" s="2"/>
      <c r="M26" s="113"/>
      <c r="N26" s="113"/>
    </row>
    <row r="27" spans="2:14" ht="51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si="0"/>
        <v>2362.2275599669151</v>
      </c>
      <c r="G27" s="23">
        <f t="shared" si="1"/>
        <v>1918.0208999328408</v>
      </c>
      <c r="H27" s="24">
        <f t="shared" si="2"/>
        <v>444.20666003407428</v>
      </c>
      <c r="I27" s="25"/>
      <c r="J27" s="25"/>
      <c r="K27" s="25"/>
      <c r="L27" s="10"/>
    </row>
    <row r="28" spans="2:14" ht="26.25">
      <c r="B28" s="75" t="s">
        <v>99</v>
      </c>
      <c r="C28" s="29" t="s">
        <v>100</v>
      </c>
      <c r="D28" s="20" t="s">
        <v>98</v>
      </c>
      <c r="E28" s="6">
        <v>0</v>
      </c>
      <c r="F28" s="22">
        <f t="shared" si="0"/>
        <v>0</v>
      </c>
      <c r="G28" s="23">
        <f t="shared" si="1"/>
        <v>0</v>
      </c>
      <c r="H28" s="24">
        <f t="shared" si="2"/>
        <v>0</v>
      </c>
      <c r="I28" s="25"/>
      <c r="J28" s="25"/>
      <c r="K28" s="25"/>
      <c r="L28" s="10"/>
    </row>
    <row r="29" spans="2:14" ht="51.75">
      <c r="B29" s="73" t="s">
        <v>86</v>
      </c>
      <c r="C29" s="5" t="s">
        <v>112</v>
      </c>
      <c r="D29" s="20" t="s">
        <v>98</v>
      </c>
      <c r="E29" s="6">
        <v>1.18</v>
      </c>
      <c r="F29" s="22">
        <f t="shared" si="0"/>
        <v>8710.714127377998</v>
      </c>
      <c r="G29" s="23">
        <f t="shared" si="1"/>
        <v>7072.7020685023499</v>
      </c>
      <c r="H29" s="24">
        <f t="shared" si="2"/>
        <v>1638.0120588756481</v>
      </c>
      <c r="I29" s="25"/>
      <c r="J29" s="25"/>
      <c r="K29" s="25"/>
    </row>
    <row r="30" spans="2:14" ht="230.25" customHeight="1">
      <c r="B30" s="27" t="s">
        <v>110</v>
      </c>
      <c r="C30" s="30" t="s">
        <v>101</v>
      </c>
      <c r="D30" s="20" t="s">
        <v>98</v>
      </c>
      <c r="E30" s="6">
        <v>5.61</v>
      </c>
      <c r="F30" s="22">
        <f t="shared" si="0"/>
        <v>41412.801910669979</v>
      </c>
      <c r="G30" s="23">
        <f t="shared" si="1"/>
        <v>33625.30390194762</v>
      </c>
      <c r="H30" s="24">
        <f t="shared" si="2"/>
        <v>7787.4980087223594</v>
      </c>
      <c r="I30" s="25"/>
      <c r="J30" s="25"/>
      <c r="K30" s="25"/>
      <c r="L30" s="1"/>
      <c r="M30" s="113"/>
      <c r="N30" s="113"/>
    </row>
    <row r="31" spans="2:14" ht="128.25" customHeight="1">
      <c r="B31" s="73" t="s">
        <v>102</v>
      </c>
      <c r="C31" s="5" t="s">
        <v>111</v>
      </c>
      <c r="D31" s="20" t="s">
        <v>98</v>
      </c>
      <c r="E31" s="6">
        <v>0.24</v>
      </c>
      <c r="F31" s="22">
        <f t="shared" si="0"/>
        <v>1771.6706699751862</v>
      </c>
      <c r="G31" s="23">
        <f t="shared" ref="G31:G33" si="3">$N$24/$N$25*E31</f>
        <v>1438.5156749496305</v>
      </c>
      <c r="H31" s="24">
        <f t="shared" si="2"/>
        <v>333.15499502555576</v>
      </c>
      <c r="I31" s="25"/>
      <c r="J31" s="25"/>
      <c r="K31" s="25"/>
    </row>
    <row r="32" spans="2:14" ht="51.75" customHeight="1">
      <c r="B32" s="28" t="s">
        <v>103</v>
      </c>
      <c r="C32" s="5" t="s">
        <v>111</v>
      </c>
      <c r="D32" s="20" t="s">
        <v>98</v>
      </c>
      <c r="E32" s="6">
        <v>2.8</v>
      </c>
      <c r="F32" s="22">
        <v>22533.29</v>
      </c>
      <c r="G32" s="4">
        <v>20047</v>
      </c>
      <c r="H32" s="24">
        <f>F32-G32</f>
        <v>2486.2900000000009</v>
      </c>
      <c r="I32" s="25"/>
      <c r="J32" s="25"/>
      <c r="K32" s="25"/>
      <c r="L32" s="10"/>
    </row>
    <row r="33" spans="2:14" ht="29.25" customHeight="1">
      <c r="B33" s="28" t="s">
        <v>105</v>
      </c>
      <c r="C33" s="29" t="s">
        <v>100</v>
      </c>
      <c r="D33" s="20" t="s">
        <v>98</v>
      </c>
      <c r="E33" s="6">
        <v>0.42</v>
      </c>
      <c r="F33" s="22">
        <f>$M$24/$M$25*E33</f>
        <v>3100.4236724565758</v>
      </c>
      <c r="G33" s="23">
        <f t="shared" si="3"/>
        <v>2517.4024311618537</v>
      </c>
      <c r="H33" s="35">
        <f>F33-G33</f>
        <v>583.02124129472213</v>
      </c>
      <c r="I33" s="25"/>
      <c r="J33" s="25"/>
      <c r="K33" s="25"/>
      <c r="L33" s="10"/>
    </row>
    <row r="34" spans="2:14" ht="16.5" thickBot="1">
      <c r="B34" s="76" t="s">
        <v>88</v>
      </c>
      <c r="C34" s="32" t="s">
        <v>101</v>
      </c>
      <c r="D34" s="33" t="s">
        <v>98</v>
      </c>
      <c r="E34" s="34">
        <v>0.77</v>
      </c>
      <c r="F34" s="22">
        <f t="shared" si="0"/>
        <v>5684.1100661703895</v>
      </c>
      <c r="G34" s="23">
        <f t="shared" ref="G34" si="4">$N$24/$N$25*E34</f>
        <v>4615.2377904633986</v>
      </c>
      <c r="H34" s="77">
        <f>F34-G34</f>
        <v>1068.8722757069909</v>
      </c>
      <c r="I34" s="25"/>
      <c r="J34" s="25"/>
      <c r="K34" s="25"/>
    </row>
    <row r="35" spans="2:14" ht="16.5" thickBot="1">
      <c r="B35" s="78" t="s">
        <v>89</v>
      </c>
      <c r="C35" s="37"/>
      <c r="D35" s="37"/>
      <c r="E35" s="38">
        <f>SUM(E25:E34)</f>
        <v>15.31</v>
      </c>
      <c r="F35" s="39">
        <f>SUM(F25:F34)</f>
        <v>114881.62367245657</v>
      </c>
      <c r="G35" s="40">
        <f>SUM(G25:G34)</f>
        <v>95029.629556749496</v>
      </c>
      <c r="H35" s="41">
        <f>G35-F35</f>
        <v>-19851.994115707072</v>
      </c>
      <c r="I35" s="100"/>
      <c r="J35" s="100"/>
      <c r="K35" s="100"/>
    </row>
    <row r="36" spans="2:14">
      <c r="B36" s="10"/>
      <c r="C36" s="10"/>
      <c r="D36" s="10"/>
      <c r="E36" s="141"/>
      <c r="F36" s="141"/>
      <c r="G36" s="141"/>
      <c r="H36" s="142"/>
      <c r="I36" s="142"/>
      <c r="J36" s="142"/>
      <c r="K36" s="142"/>
    </row>
    <row r="37" spans="2:14" ht="16.5" customHeight="1" thickBot="1">
      <c r="B37" s="155" t="s">
        <v>154</v>
      </c>
      <c r="C37" s="155"/>
      <c r="D37" s="155"/>
      <c r="E37" s="155"/>
      <c r="F37" s="155"/>
      <c r="G37" s="155"/>
      <c r="H37" s="155"/>
      <c r="I37" s="101"/>
      <c r="J37" s="101"/>
      <c r="K37" s="101"/>
    </row>
    <row r="38" spans="2:14" ht="45.75" customHeight="1" thickBot="1">
      <c r="B38" s="94" t="s">
        <v>155</v>
      </c>
      <c r="C38" s="147" t="s">
        <v>104</v>
      </c>
      <c r="D38" s="148"/>
      <c r="E38" s="156" t="s">
        <v>10</v>
      </c>
      <c r="F38" s="157"/>
      <c r="G38" s="156" t="s">
        <v>11</v>
      </c>
      <c r="H38" s="158"/>
      <c r="I38" s="44"/>
      <c r="J38" s="44"/>
      <c r="K38" s="44"/>
      <c r="L38" s="46"/>
      <c r="M38" s="114"/>
      <c r="N38" s="114"/>
    </row>
    <row r="39" spans="2:14">
      <c r="B39" s="95" t="s">
        <v>12</v>
      </c>
      <c r="C39" s="149">
        <f>E39+G39</f>
        <v>1464478.3190917461</v>
      </c>
      <c r="D39" s="150"/>
      <c r="E39" s="153">
        <f>F26+F27+F28+F29+F30+F33+F31+F34+E16+F25</f>
        <v>1384811.189091746</v>
      </c>
      <c r="F39" s="154"/>
      <c r="G39" s="153">
        <f>F32+G16</f>
        <v>79667.13</v>
      </c>
      <c r="H39" s="159"/>
      <c r="I39" s="48"/>
      <c r="J39" s="48"/>
      <c r="K39" s="48"/>
      <c r="L39" s="50"/>
      <c r="N39" s="123"/>
    </row>
    <row r="40" spans="2:14">
      <c r="B40" s="47" t="s">
        <v>13</v>
      </c>
      <c r="C40" s="151">
        <f>E40+G40</f>
        <v>802436.18000000017</v>
      </c>
      <c r="D40" s="152"/>
      <c r="E40" s="151">
        <f>E17+91831.82</f>
        <v>724838.90000000014</v>
      </c>
      <c r="F40" s="152"/>
      <c r="G40" s="151">
        <f>G17+23185.67</f>
        <v>77597.279999999999</v>
      </c>
      <c r="H40" s="160"/>
      <c r="I40" s="48"/>
      <c r="J40" s="48"/>
      <c r="K40" s="48"/>
      <c r="L40" s="50"/>
      <c r="N40" s="123"/>
    </row>
    <row r="41" spans="2:14">
      <c r="B41" s="49" t="s">
        <v>78</v>
      </c>
      <c r="C41" s="151">
        <f>E41+G41</f>
        <v>1230559.8542779835</v>
      </c>
      <c r="D41" s="152"/>
      <c r="E41" s="164">
        <f>G26+G27+G28+G29+G30+G31+G33+G34+E18+G25</f>
        <v>1162914.8542779835</v>
      </c>
      <c r="F41" s="165"/>
      <c r="G41" s="164">
        <f>G32+G18</f>
        <v>67645</v>
      </c>
      <c r="H41" s="166"/>
      <c r="I41" s="48"/>
      <c r="J41" s="48"/>
      <c r="K41" s="48"/>
      <c r="L41" s="50"/>
    </row>
    <row r="42" spans="2:14" ht="16.5" thickBot="1">
      <c r="B42" s="59" t="s">
        <v>134</v>
      </c>
      <c r="C42" s="161">
        <f>E42+G42</f>
        <v>7800</v>
      </c>
      <c r="D42" s="162"/>
      <c r="E42" s="161">
        <f>E19</f>
        <v>7800</v>
      </c>
      <c r="F42" s="162"/>
      <c r="G42" s="161">
        <f>G19</f>
        <v>0</v>
      </c>
      <c r="H42" s="192"/>
      <c r="I42" s="48"/>
      <c r="J42" s="48"/>
      <c r="K42" s="48"/>
      <c r="L42" s="50"/>
    </row>
    <row r="43" spans="2:14" ht="28.5" customHeight="1" thickBot="1">
      <c r="B43" s="11" t="s">
        <v>136</v>
      </c>
      <c r="C43" s="170">
        <f>E43+G43</f>
        <v>-420323.67427798337</v>
      </c>
      <c r="D43" s="171"/>
      <c r="E43" s="168">
        <f>E40+E42-E41</f>
        <v>-430275.9542779834</v>
      </c>
      <c r="F43" s="169"/>
      <c r="G43" s="168">
        <f>G40-G41</f>
        <v>9952.2799999999988</v>
      </c>
      <c r="H43" s="172"/>
      <c r="I43" s="48"/>
      <c r="J43" s="48"/>
      <c r="K43" s="48"/>
      <c r="L43" s="50"/>
    </row>
    <row r="44" spans="2:14" ht="24.75" customHeight="1">
      <c r="B44" s="132" t="s">
        <v>79</v>
      </c>
      <c r="C44" s="163" t="s">
        <v>141</v>
      </c>
      <c r="D44" s="163"/>
      <c r="E44" s="163"/>
      <c r="F44" s="167" t="s">
        <v>146</v>
      </c>
      <c r="G44" s="167"/>
      <c r="H44" s="48"/>
      <c r="I44" s="48"/>
      <c r="J44" s="48"/>
      <c r="K44" s="48"/>
      <c r="L44" s="50"/>
    </row>
    <row r="45" spans="2:14" ht="9" customHeight="1">
      <c r="B45" s="132"/>
      <c r="C45" s="132"/>
      <c r="D45" s="132"/>
      <c r="E45" s="133"/>
      <c r="F45" s="174"/>
      <c r="G45" s="174"/>
      <c r="H45" s="132"/>
      <c r="I45" s="132"/>
      <c r="J45" s="132"/>
      <c r="K45" s="132"/>
      <c r="L45" s="2"/>
      <c r="M45" s="113"/>
      <c r="N45" s="113"/>
    </row>
    <row r="46" spans="2:14" ht="15" customHeight="1">
      <c r="B46" s="132" t="s">
        <v>80</v>
      </c>
      <c r="C46" s="163" t="s">
        <v>141</v>
      </c>
      <c r="D46" s="163"/>
      <c r="E46" s="163"/>
      <c r="F46" s="167" t="s">
        <v>91</v>
      </c>
      <c r="G46" s="167"/>
      <c r="H46" s="134"/>
      <c r="I46" s="134"/>
      <c r="J46" s="134"/>
      <c r="K46" s="134"/>
      <c r="L46" s="2"/>
      <c r="M46" s="113"/>
      <c r="N46" s="113"/>
    </row>
    <row r="47" spans="2:14" ht="9.75" customHeight="1">
      <c r="B47" s="132"/>
      <c r="C47" s="132"/>
      <c r="D47" s="132"/>
      <c r="E47" s="133"/>
      <c r="F47" s="167"/>
      <c r="G47" s="167"/>
      <c r="H47" s="132"/>
      <c r="I47" s="132"/>
      <c r="J47" s="132"/>
      <c r="K47" s="132"/>
      <c r="L47" s="2"/>
      <c r="M47" s="113"/>
      <c r="N47" s="113"/>
    </row>
    <row r="48" spans="2:14" ht="13.5" customHeight="1">
      <c r="B48" s="132" t="s">
        <v>81</v>
      </c>
      <c r="C48" s="163" t="s">
        <v>141</v>
      </c>
      <c r="D48" s="163"/>
      <c r="E48" s="163"/>
      <c r="F48" s="167" t="s">
        <v>148</v>
      </c>
      <c r="G48" s="167"/>
      <c r="H48" s="132"/>
      <c r="I48" s="132"/>
      <c r="J48" s="132"/>
      <c r="K48" s="132"/>
    </row>
    <row r="49" spans="2:11" ht="8.25" customHeight="1">
      <c r="B49" s="51"/>
      <c r="C49" s="51"/>
      <c r="D49" s="51"/>
      <c r="E49" s="133"/>
      <c r="F49" s="52"/>
      <c r="G49" s="53"/>
      <c r="H49" s="132"/>
      <c r="I49" s="132"/>
      <c r="J49" s="132"/>
      <c r="K49" s="132"/>
    </row>
    <row r="50" spans="2:11" ht="14.25" customHeight="1">
      <c r="B50" s="132" t="s">
        <v>82</v>
      </c>
      <c r="C50" s="163" t="s">
        <v>141</v>
      </c>
      <c r="D50" s="163"/>
      <c r="E50" s="163"/>
      <c r="F50" s="167" t="s">
        <v>148</v>
      </c>
      <c r="G50" s="167"/>
      <c r="H50" s="54"/>
      <c r="I50" s="54"/>
      <c r="J50" s="54"/>
      <c r="K50" s="54"/>
    </row>
    <row r="51" spans="2:11">
      <c r="B51" s="80"/>
      <c r="C51" s="80"/>
      <c r="D51" s="80"/>
      <c r="E51" s="134"/>
      <c r="F51" s="167"/>
      <c r="G51" s="167"/>
    </row>
    <row r="52" spans="2:11" ht="7.5" customHeight="1">
      <c r="C52" s="3"/>
      <c r="D52" s="3"/>
      <c r="E52" s="137"/>
      <c r="F52" s="195"/>
      <c r="G52" s="195"/>
    </row>
    <row r="53" spans="2:11">
      <c r="D53" s="141"/>
    </row>
  </sheetData>
  <mergeCells count="62">
    <mergeCell ref="F52:G52"/>
    <mergeCell ref="F51:G51"/>
    <mergeCell ref="F47:G47"/>
    <mergeCell ref="F48:G48"/>
    <mergeCell ref="C44:E44"/>
    <mergeCell ref="F44:G44"/>
    <mergeCell ref="C46:E46"/>
    <mergeCell ref="C48:E48"/>
    <mergeCell ref="C50:E50"/>
    <mergeCell ref="F50:G50"/>
    <mergeCell ref="F45:G45"/>
    <mergeCell ref="F46:G46"/>
    <mergeCell ref="E41:F41"/>
    <mergeCell ref="E43:F43"/>
    <mergeCell ref="E38:F38"/>
    <mergeCell ref="G38:H38"/>
    <mergeCell ref="E39:F39"/>
    <mergeCell ref="G39:H39"/>
    <mergeCell ref="E40:F40"/>
    <mergeCell ref="G40:H40"/>
    <mergeCell ref="G41:H41"/>
    <mergeCell ref="G43:H43"/>
    <mergeCell ref="E42:F42"/>
    <mergeCell ref="G42:H42"/>
    <mergeCell ref="B1:H1"/>
    <mergeCell ref="B14:H14"/>
    <mergeCell ref="C15:D15"/>
    <mergeCell ref="E15:F15"/>
    <mergeCell ref="G15:H15"/>
    <mergeCell ref="B2:H3"/>
    <mergeCell ref="D5:E5"/>
    <mergeCell ref="H23:H24"/>
    <mergeCell ref="E20:F20"/>
    <mergeCell ref="G20:H20"/>
    <mergeCell ref="C16:D16"/>
    <mergeCell ref="E16:F16"/>
    <mergeCell ref="G16:H16"/>
    <mergeCell ref="C17:D17"/>
    <mergeCell ref="E17:F17"/>
    <mergeCell ref="G17:H17"/>
    <mergeCell ref="M22:M23"/>
    <mergeCell ref="B37:H37"/>
    <mergeCell ref="C42:D42"/>
    <mergeCell ref="N22:N23"/>
    <mergeCell ref="C18:D18"/>
    <mergeCell ref="E18:F18"/>
    <mergeCell ref="G18:H18"/>
    <mergeCell ref="C19:D19"/>
    <mergeCell ref="E19:F19"/>
    <mergeCell ref="G19:H19"/>
    <mergeCell ref="B22:H22"/>
    <mergeCell ref="B23:B24"/>
    <mergeCell ref="C23:C24"/>
    <mergeCell ref="D23:D24"/>
    <mergeCell ref="E23:E24"/>
    <mergeCell ref="F23:G23"/>
    <mergeCell ref="C43:D43"/>
    <mergeCell ref="C40:D40"/>
    <mergeCell ref="C41:D41"/>
    <mergeCell ref="C20:D20"/>
    <mergeCell ref="C38:D38"/>
    <mergeCell ref="C39:D39"/>
  </mergeCells>
  <printOptions horizontalCentered="1"/>
  <pageMargins left="0.23622047244094491" right="0.19685039370078741" top="0.15748031496062992" bottom="0.23622047244094491" header="0.31496062992125984" footer="0.24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0"/>
  <sheetViews>
    <sheetView topLeftCell="A23"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3" customWidth="1"/>
    <col min="2" max="2" width="57.42578125" style="3" customWidth="1"/>
    <col min="3" max="3" width="21.140625" style="69" customWidth="1"/>
    <col min="4" max="4" width="9.28515625" style="142" customWidth="1"/>
    <col min="5" max="5" width="10.28515625" style="142" customWidth="1"/>
    <col min="6" max="6" width="11" style="3" customWidth="1"/>
    <col min="7" max="7" width="10.28515625" style="3" customWidth="1"/>
    <col min="8" max="8" width="10.5703125" style="3" customWidth="1"/>
    <col min="9" max="9" width="12.28515625" style="3" customWidth="1"/>
    <col min="10" max="12" width="9.140625" style="3"/>
    <col min="13" max="13" width="13.7109375" style="110" customWidth="1"/>
    <col min="14" max="14" width="13.4257812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6.5" customHeight="1"/>
    <row r="5" spans="2:9">
      <c r="B5" s="3" t="s">
        <v>0</v>
      </c>
      <c r="D5" s="188" t="s">
        <v>53</v>
      </c>
      <c r="E5" s="188"/>
    </row>
    <row r="6" spans="2:9">
      <c r="B6" s="3" t="s">
        <v>1</v>
      </c>
      <c r="D6" s="135">
        <v>1973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15</v>
      </c>
      <c r="E8" s="135"/>
    </row>
    <row r="9" spans="2:9" ht="30.75" hidden="1" customHeight="1" outlineLevel="1">
      <c r="B9" s="13" t="s">
        <v>4</v>
      </c>
      <c r="C9" s="70"/>
      <c r="D9" s="135" t="s">
        <v>54</v>
      </c>
      <c r="E9" s="135"/>
    </row>
    <row r="10" spans="2:9" collapsed="1">
      <c r="B10" s="3" t="s">
        <v>5</v>
      </c>
      <c r="D10" s="135" t="s">
        <v>126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70"/>
      <c r="D12" s="109" t="s">
        <v>55</v>
      </c>
      <c r="E12" s="135"/>
      <c r="I12" s="10"/>
    </row>
    <row r="13" spans="2:9" ht="10.5" customHeight="1" collapsed="1">
      <c r="B13" s="13"/>
      <c r="C13" s="70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851855.78000000014</v>
      </c>
      <c r="D16" s="191"/>
      <c r="E16" s="153">
        <v>663779.63000000012</v>
      </c>
      <c r="F16" s="154"/>
      <c r="G16" s="153">
        <v>188076.15</v>
      </c>
      <c r="H16" s="159"/>
      <c r="I16" s="10"/>
    </row>
    <row r="17" spans="2:14">
      <c r="B17" s="47" t="s">
        <v>13</v>
      </c>
      <c r="C17" s="151">
        <v>781075.51999999979</v>
      </c>
      <c r="D17" s="189"/>
      <c r="E17" s="151">
        <v>608565.01999999979</v>
      </c>
      <c r="F17" s="152"/>
      <c r="G17" s="151">
        <v>172510.5</v>
      </c>
      <c r="H17" s="160"/>
      <c r="I17" s="10"/>
    </row>
    <row r="18" spans="2:14">
      <c r="B18" s="49" t="s">
        <v>78</v>
      </c>
      <c r="C18" s="151">
        <v>867598.03800000006</v>
      </c>
      <c r="D18" s="189"/>
      <c r="E18" s="164">
        <v>686849.03800000006</v>
      </c>
      <c r="F18" s="165"/>
      <c r="G18" s="164">
        <v>180749</v>
      </c>
      <c r="H18" s="166"/>
      <c r="I18" s="10"/>
    </row>
    <row r="19" spans="2:14" ht="16.5" thickBot="1">
      <c r="B19" s="59" t="s">
        <v>134</v>
      </c>
      <c r="C19" s="161">
        <v>7800</v>
      </c>
      <c r="D19" s="190"/>
      <c r="E19" s="161">
        <v>7800</v>
      </c>
      <c r="F19" s="162"/>
      <c r="G19" s="161">
        <v>0</v>
      </c>
      <c r="H19" s="192"/>
      <c r="I19" s="10"/>
    </row>
    <row r="20" spans="2:14" ht="32.25" customHeight="1" thickBot="1">
      <c r="B20" s="11" t="s">
        <v>135</v>
      </c>
      <c r="C20" s="170">
        <f>E20+G20</f>
        <v>-78722.518000000273</v>
      </c>
      <c r="D20" s="171"/>
      <c r="E20" s="168">
        <f>E17+E19-E18</f>
        <v>-70484.018000000273</v>
      </c>
      <c r="F20" s="169"/>
      <c r="G20" s="168">
        <f>G17-G18</f>
        <v>-8238.5</v>
      </c>
      <c r="H20" s="172"/>
      <c r="I20" s="10"/>
    </row>
    <row r="21" spans="2:14">
      <c r="B21" s="13"/>
      <c r="C21" s="70"/>
      <c r="D21" s="109"/>
      <c r="E21" s="135"/>
      <c r="I21" s="10"/>
    </row>
    <row r="22" spans="2:14" ht="24.7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87148.44</v>
      </c>
      <c r="N24" s="111">
        <f>M24</f>
        <v>87148.44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1.92</v>
      </c>
      <c r="F25" s="22">
        <f>$M$24/$M$25*E25</f>
        <v>13322.054522292992</v>
      </c>
      <c r="G25" s="23">
        <f>$N$24/$N$25*E25</f>
        <v>13322.054522292992</v>
      </c>
      <c r="H25" s="24">
        <f>F25-G25</f>
        <v>0</v>
      </c>
      <c r="I25" s="25"/>
      <c r="J25" s="25"/>
      <c r="K25" s="138"/>
      <c r="L25" s="26"/>
      <c r="M25" s="112">
        <f>E34-E32</f>
        <v>12.56</v>
      </c>
      <c r="N25" s="112">
        <f>E34-E32</f>
        <v>12.56</v>
      </c>
    </row>
    <row r="26" spans="2:14" ht="56.25">
      <c r="B26" s="27" t="s">
        <v>90</v>
      </c>
      <c r="C26" s="5" t="s">
        <v>111</v>
      </c>
      <c r="D26" s="20" t="s">
        <v>98</v>
      </c>
      <c r="E26" s="6">
        <v>2.0499999999999998</v>
      </c>
      <c r="F26" s="22">
        <f t="shared" ref="F26:F33" si="0">$M$24/$M$25*E26</f>
        <v>14224.068630573247</v>
      </c>
      <c r="G26" s="23">
        <f t="shared" ref="G26:G28" si="1">$N$24/$N$25*E26</f>
        <v>14224.068630573247</v>
      </c>
      <c r="H26" s="24">
        <f t="shared" ref="H26:H31" si="2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si="0"/>
        <v>2220.3424203821655</v>
      </c>
      <c r="G27" s="23">
        <f t="shared" si="1"/>
        <v>2220.3424203821655</v>
      </c>
      <c r="H27" s="24">
        <f t="shared" si="2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</v>
      </c>
      <c r="F28" s="22">
        <f t="shared" si="0"/>
        <v>0</v>
      </c>
      <c r="G28" s="23">
        <f t="shared" si="1"/>
        <v>0</v>
      </c>
      <c r="H28" s="24">
        <f t="shared" si="2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1.18</v>
      </c>
      <c r="F29" s="22">
        <f t="shared" si="0"/>
        <v>8187.5126751592352</v>
      </c>
      <c r="G29" s="23">
        <f t="shared" ref="G29:G30" si="3">$N$24/$N$25*E29</f>
        <v>8187.5126751592352</v>
      </c>
      <c r="H29" s="24">
        <f t="shared" si="2"/>
        <v>0</v>
      </c>
      <c r="I29" s="25"/>
      <c r="J29" s="25"/>
    </row>
    <row r="30" spans="2:14" ht="236.25" customHeight="1">
      <c r="B30" s="27" t="s">
        <v>110</v>
      </c>
      <c r="C30" s="30" t="s">
        <v>101</v>
      </c>
      <c r="D30" s="20" t="s">
        <v>98</v>
      </c>
      <c r="E30" s="6">
        <v>5.61</v>
      </c>
      <c r="F30" s="22">
        <f t="shared" si="0"/>
        <v>38925.378057324844</v>
      </c>
      <c r="G30" s="23">
        <f t="shared" si="3"/>
        <v>38925.378057324844</v>
      </c>
      <c r="H30" s="24">
        <f t="shared" si="2"/>
        <v>0</v>
      </c>
      <c r="I30" s="25"/>
      <c r="J30" s="25"/>
      <c r="K30" s="2"/>
      <c r="L30" s="1"/>
      <c r="M30" s="113"/>
      <c r="N30" s="113"/>
    </row>
    <row r="31" spans="2:14" ht="122.25" customHeight="1">
      <c r="B31" s="27" t="s">
        <v>102</v>
      </c>
      <c r="C31" s="5" t="s">
        <v>111</v>
      </c>
      <c r="D31" s="20" t="s">
        <v>98</v>
      </c>
      <c r="E31" s="6">
        <v>0.24</v>
      </c>
      <c r="F31" s="22">
        <f t="shared" si="0"/>
        <v>1665.256815286624</v>
      </c>
      <c r="G31" s="23">
        <f t="shared" ref="G31" si="4">$N$24/$N$25*E31</f>
        <v>1665.256815286624</v>
      </c>
      <c r="H31" s="24">
        <f t="shared" si="2"/>
        <v>0</v>
      </c>
      <c r="I31" s="25"/>
      <c r="J31" s="25"/>
    </row>
    <row r="32" spans="2:14" ht="56.25">
      <c r="B32" s="28" t="s">
        <v>103</v>
      </c>
      <c r="C32" s="5" t="s">
        <v>111</v>
      </c>
      <c r="D32" s="20" t="s">
        <v>98</v>
      </c>
      <c r="E32" s="6">
        <v>2.75</v>
      </c>
      <c r="F32" s="22">
        <v>21513.3</v>
      </c>
      <c r="G32" s="4">
        <v>40000</v>
      </c>
      <c r="H32" s="24">
        <f>F32-G32</f>
        <v>-18486.7</v>
      </c>
      <c r="I32" s="25"/>
      <c r="J32" s="25"/>
      <c r="L32" s="10"/>
    </row>
    <row r="33" spans="2:14" ht="16.5" thickBot="1">
      <c r="B33" s="31" t="s">
        <v>88</v>
      </c>
      <c r="C33" s="32" t="s">
        <v>101</v>
      </c>
      <c r="D33" s="33" t="s">
        <v>98</v>
      </c>
      <c r="E33" s="34">
        <v>1.24</v>
      </c>
      <c r="F33" s="22">
        <f t="shared" si="0"/>
        <v>8603.8268789808917</v>
      </c>
      <c r="G33" s="23">
        <f t="shared" ref="G33" si="5">$N$24/$N$25*E33</f>
        <v>8603.8268789808917</v>
      </c>
      <c r="H33" s="35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15.31</v>
      </c>
      <c r="F34" s="39">
        <f>SUM(F25:F33)</f>
        <v>108661.74</v>
      </c>
      <c r="G34" s="40">
        <f>SUM(G25:G33)</f>
        <v>127148.44</v>
      </c>
      <c r="H34" s="41">
        <f>SUM(H25:H33)</f>
        <v>-18486.7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960517.52000000014</v>
      </c>
      <c r="D38" s="150"/>
      <c r="E38" s="153">
        <f>F26+F27+F28+F29+F30+F31+F33+E16+F25</f>
        <v>750928.07000000018</v>
      </c>
      <c r="F38" s="154"/>
      <c r="G38" s="153">
        <f>F32+G16</f>
        <v>209589.44999999998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879291.24999999988</v>
      </c>
      <c r="D39" s="152"/>
      <c r="E39" s="151">
        <f>E17+78770.57</f>
        <v>687335.58999999985</v>
      </c>
      <c r="F39" s="152"/>
      <c r="G39" s="151">
        <f>G17+19445.16</f>
        <v>191955.66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994746.47800000012</v>
      </c>
      <c r="D40" s="152"/>
      <c r="E40" s="164">
        <f>G26+G27+G28+G29+G30+G31+G33+E18+G25</f>
        <v>773997.47800000012</v>
      </c>
      <c r="F40" s="165"/>
      <c r="G40" s="164">
        <f>G32+G18</f>
        <v>220749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7800</v>
      </c>
      <c r="D41" s="162"/>
      <c r="E41" s="161">
        <f>E19</f>
        <v>7800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29.25" customHeight="1" thickBot="1">
      <c r="B42" s="11" t="s">
        <v>136</v>
      </c>
      <c r="C42" s="170">
        <f>E42+G42</f>
        <v>-107655.22800000026</v>
      </c>
      <c r="D42" s="171"/>
      <c r="E42" s="168">
        <f>E39+E41-E40</f>
        <v>-78861.888000000268</v>
      </c>
      <c r="F42" s="169"/>
      <c r="G42" s="168">
        <f>G39-G40</f>
        <v>-28793.339999999997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</sheetData>
  <mergeCells count="61"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C15:D15"/>
    <mergeCell ref="E15:F15"/>
    <mergeCell ref="G15:H15"/>
    <mergeCell ref="C16:D16"/>
    <mergeCell ref="E16:F16"/>
    <mergeCell ref="F50:G50"/>
    <mergeCell ref="F46:G46"/>
    <mergeCell ref="E39:F39"/>
    <mergeCell ref="F47:G47"/>
    <mergeCell ref="E40:F40"/>
    <mergeCell ref="E41:F41"/>
    <mergeCell ref="F49:G49"/>
    <mergeCell ref="F43:G43"/>
    <mergeCell ref="F44:G44"/>
    <mergeCell ref="F45:G45"/>
    <mergeCell ref="G39:H39"/>
    <mergeCell ref="G40:H40"/>
    <mergeCell ref="G42:H42"/>
    <mergeCell ref="G41:H41"/>
    <mergeCell ref="C43:E43"/>
    <mergeCell ref="C45:E45"/>
    <mergeCell ref="G16:H16"/>
    <mergeCell ref="C17:D17"/>
    <mergeCell ref="E17:F17"/>
    <mergeCell ref="G17:H17"/>
    <mergeCell ref="M22:M23"/>
    <mergeCell ref="N22:N23"/>
    <mergeCell ref="C18:D18"/>
    <mergeCell ref="E18:F18"/>
    <mergeCell ref="G18:H18"/>
    <mergeCell ref="C19:D19"/>
    <mergeCell ref="E19:F19"/>
    <mergeCell ref="G19:H19"/>
    <mergeCell ref="G20:H20"/>
    <mergeCell ref="C49:E49"/>
    <mergeCell ref="C41:D41"/>
    <mergeCell ref="C42:D42"/>
    <mergeCell ref="C20:D20"/>
    <mergeCell ref="E20:F20"/>
    <mergeCell ref="B36:H36"/>
    <mergeCell ref="E37:F37"/>
    <mergeCell ref="G37:H37"/>
    <mergeCell ref="G38:H38"/>
    <mergeCell ref="C47:E47"/>
    <mergeCell ref="E42:F42"/>
    <mergeCell ref="E38:F38"/>
    <mergeCell ref="C37:D37"/>
    <mergeCell ref="C38:D38"/>
    <mergeCell ref="C39:D39"/>
    <mergeCell ref="C40:D40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7"/>
  <sheetViews>
    <sheetView topLeftCell="A31" zoomScale="110" zoomScaleNormal="110" workbookViewId="0">
      <selection activeCell="B1" sqref="B1:H46"/>
    </sheetView>
  </sheetViews>
  <sheetFormatPr defaultColWidth="9.140625" defaultRowHeight="15.75" outlineLevelRow="1"/>
  <cols>
    <col min="1" max="1" width="2.85546875" style="3" customWidth="1"/>
    <col min="2" max="2" width="60.7109375" style="3" customWidth="1"/>
    <col min="3" max="3" width="22.140625" style="141" customWidth="1"/>
    <col min="4" max="4" width="8.42578125" style="142" customWidth="1"/>
    <col min="5" max="5" width="10.28515625" style="142" customWidth="1"/>
    <col min="6" max="6" width="10" style="3" customWidth="1"/>
    <col min="7" max="7" width="10.28515625" style="3" customWidth="1"/>
    <col min="8" max="8" width="10.7109375" style="3" customWidth="1"/>
    <col min="9" max="9" width="12.28515625" style="3" customWidth="1"/>
    <col min="10" max="12" width="9.140625" style="3"/>
    <col min="13" max="13" width="13.28515625" style="110" customWidth="1"/>
    <col min="14" max="14" width="15.8554687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5.25" customHeight="1">
      <c r="B4" s="81"/>
    </row>
    <row r="5" spans="1:9">
      <c r="B5" s="3" t="s">
        <v>0</v>
      </c>
      <c r="D5" s="105" t="s">
        <v>56</v>
      </c>
      <c r="E5" s="105"/>
    </row>
    <row r="6" spans="1:9">
      <c r="B6" s="3" t="s">
        <v>1</v>
      </c>
      <c r="D6" s="135">
        <v>1956</v>
      </c>
      <c r="E6" s="135"/>
    </row>
    <row r="7" spans="1:9" hidden="1" outlineLevel="1">
      <c r="B7" s="3" t="s">
        <v>2</v>
      </c>
      <c r="D7" s="135">
        <v>2</v>
      </c>
      <c r="E7" s="135"/>
    </row>
    <row r="8" spans="1:9" hidden="1" outlineLevel="1">
      <c r="B8" s="3" t="s">
        <v>3</v>
      </c>
      <c r="D8" s="135">
        <v>13</v>
      </c>
      <c r="E8" s="135"/>
    </row>
    <row r="9" spans="1:9" ht="30.75" hidden="1" customHeight="1" outlineLevel="1">
      <c r="B9" s="13" t="s">
        <v>4</v>
      </c>
      <c r="C9" s="14"/>
      <c r="D9" s="135" t="s">
        <v>57</v>
      </c>
      <c r="E9" s="135"/>
    </row>
    <row r="10" spans="1:9" collapsed="1">
      <c r="B10" s="3" t="s">
        <v>5</v>
      </c>
      <c r="D10" s="135" t="s">
        <v>127</v>
      </c>
      <c r="E10" s="135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14"/>
      <c r="D12" s="109" t="s">
        <v>58</v>
      </c>
      <c r="E12" s="135"/>
      <c r="I12" s="10"/>
    </row>
    <row r="13" spans="1:9" ht="16.5" collapsed="1" thickBot="1">
      <c r="B13" s="155" t="s">
        <v>149</v>
      </c>
      <c r="C13" s="155"/>
      <c r="D13" s="155"/>
      <c r="E13" s="155"/>
      <c r="F13" s="155"/>
      <c r="G13" s="155"/>
      <c r="H13" s="155"/>
      <c r="I13" s="10"/>
    </row>
    <row r="14" spans="1:9" ht="43.5" customHeight="1" thickBot="1">
      <c r="B14" s="94" t="s">
        <v>155</v>
      </c>
      <c r="C14" s="147" t="s">
        <v>104</v>
      </c>
      <c r="D14" s="148"/>
      <c r="E14" s="156" t="s">
        <v>10</v>
      </c>
      <c r="F14" s="157"/>
      <c r="G14" s="156" t="s">
        <v>11</v>
      </c>
      <c r="H14" s="158"/>
      <c r="I14" s="10"/>
    </row>
    <row r="15" spans="1:9">
      <c r="B15" s="95" t="s">
        <v>12</v>
      </c>
      <c r="C15" s="149">
        <v>838114.13022156013</v>
      </c>
      <c r="D15" s="191"/>
      <c r="E15" s="153">
        <v>576529.98022156011</v>
      </c>
      <c r="F15" s="154"/>
      <c r="G15" s="153">
        <v>261584.15</v>
      </c>
      <c r="H15" s="159"/>
      <c r="I15" s="10"/>
    </row>
    <row r="16" spans="1:9">
      <c r="B16" s="47" t="s">
        <v>13</v>
      </c>
      <c r="C16" s="151">
        <v>683589.32000000007</v>
      </c>
      <c r="D16" s="189"/>
      <c r="E16" s="151">
        <v>472940.88000000006</v>
      </c>
      <c r="F16" s="152"/>
      <c r="G16" s="151">
        <v>210648.44</v>
      </c>
      <c r="H16" s="160"/>
      <c r="I16" s="10"/>
    </row>
    <row r="17" spans="2:14" ht="16.5" thickBot="1">
      <c r="B17" s="49" t="s">
        <v>78</v>
      </c>
      <c r="C17" s="161">
        <v>783849.94563294225</v>
      </c>
      <c r="D17" s="190"/>
      <c r="E17" s="164">
        <v>579295.94563294225</v>
      </c>
      <c r="F17" s="165"/>
      <c r="G17" s="164">
        <v>204554</v>
      </c>
      <c r="H17" s="166"/>
      <c r="I17" s="10"/>
    </row>
    <row r="18" spans="2:14" ht="30" customHeight="1" thickBot="1">
      <c r="B18" s="11" t="s">
        <v>135</v>
      </c>
      <c r="C18" s="170">
        <f>E18+G18</f>
        <v>-100260.62563294219</v>
      </c>
      <c r="D18" s="171"/>
      <c r="E18" s="168">
        <f>E16-E17</f>
        <v>-106355.06563294219</v>
      </c>
      <c r="F18" s="169"/>
      <c r="G18" s="168">
        <f>G16-G17</f>
        <v>6094.4400000000023</v>
      </c>
      <c r="H18" s="172"/>
      <c r="I18" s="10"/>
    </row>
    <row r="19" spans="2:14" ht="12" customHeight="1">
      <c r="B19" s="13"/>
      <c r="C19" s="14"/>
      <c r="D19" s="109"/>
      <c r="E19" s="135"/>
      <c r="I19" s="10"/>
    </row>
    <row r="20" spans="2:14" ht="20.25" customHeight="1" thickBot="1">
      <c r="B20" s="177" t="s">
        <v>152</v>
      </c>
      <c r="C20" s="177"/>
      <c r="D20" s="177"/>
      <c r="E20" s="177"/>
      <c r="F20" s="177"/>
      <c r="G20" s="177"/>
      <c r="H20" s="177"/>
      <c r="I20" s="15"/>
      <c r="J20" s="15"/>
      <c r="L20" s="10"/>
      <c r="M20" s="145" t="s">
        <v>137</v>
      </c>
      <c r="N20" s="145" t="s">
        <v>138</v>
      </c>
    </row>
    <row r="21" spans="2:14" ht="27.75" customHeight="1">
      <c r="B21" s="178" t="s">
        <v>92</v>
      </c>
      <c r="C21" s="180" t="s">
        <v>93</v>
      </c>
      <c r="D21" s="180" t="s">
        <v>94</v>
      </c>
      <c r="E21" s="182" t="s">
        <v>153</v>
      </c>
      <c r="F21" s="184" t="s">
        <v>95</v>
      </c>
      <c r="G21" s="185"/>
      <c r="H21" s="186" t="s">
        <v>113</v>
      </c>
      <c r="I21" s="16"/>
      <c r="J21" s="16"/>
      <c r="L21" s="10"/>
      <c r="M21" s="146"/>
      <c r="N21" s="146"/>
    </row>
    <row r="22" spans="2:14" ht="45" customHeight="1" thickBot="1">
      <c r="B22" s="179"/>
      <c r="C22" s="181"/>
      <c r="D22" s="181"/>
      <c r="E22" s="183"/>
      <c r="F22" s="17" t="s">
        <v>83</v>
      </c>
      <c r="G22" s="18" t="s">
        <v>84</v>
      </c>
      <c r="H22" s="187"/>
      <c r="I22" s="16"/>
      <c r="J22" s="16"/>
      <c r="M22" s="111">
        <v>87587.23</v>
      </c>
      <c r="N22" s="111">
        <f>M22</f>
        <v>87587.23</v>
      </c>
    </row>
    <row r="23" spans="2:14" ht="50.25" customHeight="1">
      <c r="B23" s="19" t="s">
        <v>96</v>
      </c>
      <c r="C23" s="5" t="s">
        <v>111</v>
      </c>
      <c r="D23" s="20" t="s">
        <v>98</v>
      </c>
      <c r="E23" s="21">
        <v>1.92</v>
      </c>
      <c r="F23" s="22">
        <f>$M$22/$M$23*E23</f>
        <v>13168.949224745495</v>
      </c>
      <c r="G23" s="23">
        <f>$N$22/$N$23*E23</f>
        <v>13168.949224745495</v>
      </c>
      <c r="H23" s="24">
        <f>F23-G23</f>
        <v>0</v>
      </c>
      <c r="I23" s="25"/>
      <c r="J23" s="25"/>
      <c r="K23" s="138"/>
      <c r="L23" s="26"/>
      <c r="M23" s="112">
        <f>E32-E30</f>
        <v>12.770000000000001</v>
      </c>
      <c r="N23" s="112">
        <f>E32-E30</f>
        <v>12.770000000000001</v>
      </c>
    </row>
    <row r="24" spans="2:14" ht="56.25">
      <c r="B24" s="27" t="s">
        <v>90</v>
      </c>
      <c r="C24" s="5" t="s">
        <v>111</v>
      </c>
      <c r="D24" s="20" t="s">
        <v>98</v>
      </c>
      <c r="E24" s="6">
        <v>2.0499999999999998</v>
      </c>
      <c r="F24" s="22">
        <f t="shared" ref="F24:F31" si="0">$M$22/$M$23*E24</f>
        <v>14060.596828504304</v>
      </c>
      <c r="G24" s="23">
        <f t="shared" ref="G24:G28" si="1">$N$22/$N$23*E24</f>
        <v>14060.596828504304</v>
      </c>
      <c r="H24" s="24">
        <f t="shared" ref="H24:H29" si="2">F24-G24</f>
        <v>0</v>
      </c>
      <c r="I24" s="25"/>
      <c r="J24" s="25"/>
      <c r="K24" s="2"/>
      <c r="L24" s="2"/>
      <c r="M24" s="113"/>
      <c r="N24" s="113"/>
    </row>
    <row r="25" spans="2:14" ht="52.5" customHeight="1">
      <c r="B25" s="28" t="s">
        <v>85</v>
      </c>
      <c r="C25" s="5" t="s">
        <v>111</v>
      </c>
      <c r="D25" s="20" t="s">
        <v>98</v>
      </c>
      <c r="E25" s="6">
        <v>0.32</v>
      </c>
      <c r="F25" s="22">
        <f t="shared" si="0"/>
        <v>2194.8248707909156</v>
      </c>
      <c r="G25" s="23">
        <f t="shared" si="1"/>
        <v>2194.8248707909156</v>
      </c>
      <c r="H25" s="24">
        <f t="shared" si="2"/>
        <v>0</v>
      </c>
      <c r="I25" s="25"/>
      <c r="J25" s="25"/>
      <c r="L25" s="10"/>
    </row>
    <row r="26" spans="2:14" ht="25.5">
      <c r="B26" s="28" t="s">
        <v>99</v>
      </c>
      <c r="C26" s="29" t="s">
        <v>100</v>
      </c>
      <c r="D26" s="20" t="s">
        <v>98</v>
      </c>
      <c r="E26" s="6">
        <v>0.5</v>
      </c>
      <c r="F26" s="22">
        <f>($M$22/12*2)/$M$23*E26</f>
        <v>571.56897676846768</v>
      </c>
      <c r="G26" s="23">
        <f>($N$22/12*2)/$N$23*E26</f>
        <v>571.56897676846768</v>
      </c>
      <c r="H26" s="24">
        <f t="shared" si="2"/>
        <v>0</v>
      </c>
      <c r="I26" s="25"/>
      <c r="J26" s="25"/>
      <c r="L26" s="10"/>
    </row>
    <row r="27" spans="2:14" ht="51">
      <c r="B27" s="27" t="s">
        <v>86</v>
      </c>
      <c r="C27" s="5" t="s">
        <v>112</v>
      </c>
      <c r="D27" s="20" t="s">
        <v>98</v>
      </c>
      <c r="E27" s="6">
        <v>1.18</v>
      </c>
      <c r="F27" s="22">
        <f t="shared" si="0"/>
        <v>8093.416711041501</v>
      </c>
      <c r="G27" s="23">
        <f t="shared" si="1"/>
        <v>8093.416711041501</v>
      </c>
      <c r="H27" s="24">
        <f t="shared" si="2"/>
        <v>0</v>
      </c>
      <c r="I27" s="25"/>
      <c r="J27" s="25"/>
    </row>
    <row r="28" spans="2:14" ht="213.75" customHeight="1">
      <c r="B28" s="27" t="s">
        <v>110</v>
      </c>
      <c r="C28" s="30" t="s">
        <v>101</v>
      </c>
      <c r="D28" s="20" t="s">
        <v>98</v>
      </c>
      <c r="E28" s="6">
        <v>5.61</v>
      </c>
      <c r="F28" s="22">
        <f t="shared" si="0"/>
        <v>38478.023516053247</v>
      </c>
      <c r="G28" s="23">
        <f t="shared" si="1"/>
        <v>38478.023516053247</v>
      </c>
      <c r="H28" s="24">
        <f t="shared" si="2"/>
        <v>0</v>
      </c>
      <c r="I28" s="25"/>
      <c r="J28" s="25"/>
      <c r="K28" s="2"/>
      <c r="L28" s="1"/>
      <c r="M28" s="113"/>
      <c r="N28" s="113"/>
    </row>
    <row r="29" spans="2:14" ht="108.75" customHeight="1">
      <c r="B29" s="27" t="s">
        <v>102</v>
      </c>
      <c r="C29" s="5" t="s">
        <v>111</v>
      </c>
      <c r="D29" s="20" t="s">
        <v>98</v>
      </c>
      <c r="E29" s="6">
        <v>0.24</v>
      </c>
      <c r="F29" s="22">
        <f t="shared" si="0"/>
        <v>1646.1186530931868</v>
      </c>
      <c r="G29" s="23">
        <f t="shared" ref="G29" si="3">$N$22/$N$23*E29</f>
        <v>1646.1186530931868</v>
      </c>
      <c r="H29" s="24">
        <f t="shared" si="2"/>
        <v>0</v>
      </c>
      <c r="I29" s="25"/>
      <c r="J29" s="25"/>
    </row>
    <row r="30" spans="2:14" ht="56.25">
      <c r="B30" s="28" t="s">
        <v>103</v>
      </c>
      <c r="C30" s="5" t="s">
        <v>111</v>
      </c>
      <c r="D30" s="20" t="s">
        <v>98</v>
      </c>
      <c r="E30" s="6">
        <v>3.6</v>
      </c>
      <c r="F30" s="22">
        <v>28027.91</v>
      </c>
      <c r="G30" s="4">
        <v>3445</v>
      </c>
      <c r="H30" s="24">
        <f>F30-G30</f>
        <v>24582.91</v>
      </c>
      <c r="I30" s="25"/>
      <c r="J30" s="25"/>
      <c r="L30" s="10"/>
    </row>
    <row r="31" spans="2:14" ht="16.5" thickBot="1">
      <c r="B31" s="31" t="s">
        <v>88</v>
      </c>
      <c r="C31" s="32" t="s">
        <v>101</v>
      </c>
      <c r="D31" s="33" t="s">
        <v>98</v>
      </c>
      <c r="E31" s="34">
        <v>0.95</v>
      </c>
      <c r="F31" s="22">
        <f t="shared" si="0"/>
        <v>6515.8863351605305</v>
      </c>
      <c r="G31" s="23">
        <f t="shared" ref="G31" si="4">$N$22/$N$23*E31</f>
        <v>6515.8863351605305</v>
      </c>
      <c r="H31" s="35">
        <f>F31-G31</f>
        <v>0</v>
      </c>
      <c r="I31" s="25"/>
      <c r="J31" s="25"/>
    </row>
    <row r="32" spans="2:14" ht="16.5" thickBot="1">
      <c r="B32" s="36" t="s">
        <v>89</v>
      </c>
      <c r="C32" s="37"/>
      <c r="D32" s="37"/>
      <c r="E32" s="38">
        <f>SUM(E23:E31)</f>
        <v>16.37</v>
      </c>
      <c r="F32" s="39">
        <f>SUM(F23:F31)</f>
        <v>112757.29511615763</v>
      </c>
      <c r="G32" s="40">
        <f>SUM(G23:G31)</f>
        <v>88174.385116157631</v>
      </c>
      <c r="H32" s="41">
        <f>SUM(H23:H31)</f>
        <v>24582.91</v>
      </c>
      <c r="I32" s="42"/>
      <c r="J32" s="42"/>
    </row>
    <row r="33" spans="2:14">
      <c r="B33" s="10"/>
      <c r="C33" s="10"/>
      <c r="D33" s="10"/>
      <c r="E33" s="141"/>
      <c r="F33" s="141"/>
      <c r="G33" s="141"/>
      <c r="H33" s="142"/>
      <c r="I33" s="142"/>
      <c r="J33" s="142"/>
    </row>
    <row r="34" spans="2:14" ht="16.5" customHeight="1" thickBot="1">
      <c r="B34" s="155" t="s">
        <v>154</v>
      </c>
      <c r="C34" s="155"/>
      <c r="D34" s="155"/>
      <c r="E34" s="155"/>
      <c r="F34" s="155"/>
      <c r="G34" s="155"/>
      <c r="H34" s="155"/>
      <c r="I34" s="43"/>
      <c r="J34" s="43"/>
    </row>
    <row r="35" spans="2:14" ht="44.25" customHeight="1" thickBot="1">
      <c r="B35" s="94" t="s">
        <v>155</v>
      </c>
      <c r="C35" s="147" t="s">
        <v>104</v>
      </c>
      <c r="D35" s="148"/>
      <c r="E35" s="156" t="s">
        <v>10</v>
      </c>
      <c r="F35" s="157"/>
      <c r="G35" s="156" t="s">
        <v>11</v>
      </c>
      <c r="H35" s="158"/>
      <c r="I35" s="44"/>
      <c r="J35" s="44"/>
      <c r="K35" s="45"/>
      <c r="L35" s="46"/>
      <c r="M35" s="114"/>
      <c r="N35" s="114"/>
    </row>
    <row r="36" spans="2:14">
      <c r="B36" s="95" t="s">
        <v>12</v>
      </c>
      <c r="C36" s="149">
        <f>E36+G36</f>
        <v>950871.42533771764</v>
      </c>
      <c r="D36" s="150"/>
      <c r="E36" s="153">
        <f>F23+F24+F25+F26+F27+F28+F29+F31+E15</f>
        <v>661259.3653377177</v>
      </c>
      <c r="F36" s="154"/>
      <c r="G36" s="153">
        <f>F30+G15</f>
        <v>289612.06</v>
      </c>
      <c r="H36" s="159"/>
      <c r="I36" s="48"/>
      <c r="J36" s="48"/>
      <c r="K36" s="7"/>
      <c r="L36" s="7"/>
      <c r="M36" s="115"/>
    </row>
    <row r="37" spans="2:14">
      <c r="B37" s="47" t="s">
        <v>13</v>
      </c>
      <c r="C37" s="151">
        <f>E37+G37</f>
        <v>761478.32000000007</v>
      </c>
      <c r="D37" s="152"/>
      <c r="E37" s="151">
        <f>E16+59006.82</f>
        <v>531947.70000000007</v>
      </c>
      <c r="F37" s="152"/>
      <c r="G37" s="151">
        <f>G16+18882.18</f>
        <v>229530.62</v>
      </c>
      <c r="H37" s="160"/>
      <c r="I37" s="48"/>
      <c r="J37" s="48"/>
      <c r="K37" s="9"/>
      <c r="L37" s="7"/>
      <c r="M37" s="115"/>
    </row>
    <row r="38" spans="2:14" ht="16.5" thickBot="1">
      <c r="B38" s="49" t="s">
        <v>78</v>
      </c>
      <c r="C38" s="161">
        <f>E38+G38</f>
        <v>872024.33074909984</v>
      </c>
      <c r="D38" s="162"/>
      <c r="E38" s="164">
        <f>G23+G24+G25+G26+G27+G28+G29+G31+E17</f>
        <v>664025.33074909984</v>
      </c>
      <c r="F38" s="165"/>
      <c r="G38" s="164">
        <f>G30+G17</f>
        <v>207999</v>
      </c>
      <c r="H38" s="166"/>
      <c r="I38" s="48"/>
      <c r="J38" s="48"/>
      <c r="K38" s="50"/>
      <c r="L38" s="50"/>
    </row>
    <row r="39" spans="2:14" ht="30" customHeight="1" thickBot="1">
      <c r="B39" s="11" t="s">
        <v>136</v>
      </c>
      <c r="C39" s="170">
        <f>E39+G39</f>
        <v>-110546.01074909978</v>
      </c>
      <c r="D39" s="171"/>
      <c r="E39" s="168">
        <f>E37-E38</f>
        <v>-132077.63074909977</v>
      </c>
      <c r="F39" s="169"/>
      <c r="G39" s="168">
        <f>G37-G38</f>
        <v>21531.619999999995</v>
      </c>
      <c r="H39" s="172"/>
      <c r="I39" s="48"/>
      <c r="J39" s="48"/>
      <c r="K39" s="50"/>
      <c r="L39" s="50"/>
    </row>
    <row r="40" spans="2:14" ht="27.75" customHeight="1">
      <c r="B40" s="132" t="s">
        <v>79</v>
      </c>
      <c r="C40" s="163" t="s">
        <v>141</v>
      </c>
      <c r="D40" s="163"/>
      <c r="E40" s="163"/>
      <c r="F40" s="167" t="s">
        <v>146</v>
      </c>
      <c r="G40" s="167"/>
      <c r="H40" s="132"/>
      <c r="I40" s="132"/>
      <c r="J40" s="132"/>
      <c r="K40" s="2"/>
      <c r="L40" s="2"/>
      <c r="M40" s="113"/>
      <c r="N40" s="113"/>
    </row>
    <row r="41" spans="2:14" ht="11.25" customHeight="1">
      <c r="B41" s="132"/>
      <c r="C41" s="132"/>
      <c r="D41" s="132"/>
      <c r="E41" s="133"/>
      <c r="F41" s="174"/>
      <c r="G41" s="174"/>
      <c r="H41" s="134"/>
      <c r="I41" s="134"/>
      <c r="J41" s="134"/>
      <c r="K41" s="2"/>
      <c r="L41" s="2"/>
      <c r="M41" s="113"/>
      <c r="N41" s="113"/>
    </row>
    <row r="42" spans="2:14">
      <c r="B42" s="132" t="s">
        <v>80</v>
      </c>
      <c r="C42" s="163" t="s">
        <v>141</v>
      </c>
      <c r="D42" s="163"/>
      <c r="E42" s="163"/>
      <c r="F42" s="167" t="s">
        <v>91</v>
      </c>
      <c r="G42" s="167"/>
      <c r="H42" s="132"/>
      <c r="I42" s="132"/>
      <c r="J42" s="132"/>
      <c r="K42" s="2"/>
      <c r="L42" s="2"/>
      <c r="M42" s="113"/>
      <c r="N42" s="113"/>
    </row>
    <row r="43" spans="2:14" ht="9.75" customHeight="1">
      <c r="B43" s="132"/>
      <c r="C43" s="132"/>
      <c r="D43" s="132"/>
      <c r="E43" s="133"/>
      <c r="F43" s="167"/>
      <c r="G43" s="167"/>
      <c r="H43" s="132"/>
      <c r="I43" s="132"/>
      <c r="J43" s="132"/>
    </row>
    <row r="44" spans="2:14">
      <c r="B44" s="132" t="s">
        <v>81</v>
      </c>
      <c r="C44" s="163" t="s">
        <v>141</v>
      </c>
      <c r="D44" s="163"/>
      <c r="E44" s="163"/>
      <c r="F44" s="167" t="s">
        <v>148</v>
      </c>
      <c r="G44" s="167"/>
      <c r="H44" s="132"/>
      <c r="I44" s="132"/>
      <c r="J44" s="132"/>
    </row>
    <row r="45" spans="2:14" ht="8.25" customHeight="1">
      <c r="B45" s="51"/>
      <c r="C45" s="51"/>
      <c r="D45" s="51"/>
      <c r="E45" s="133"/>
      <c r="F45" s="52"/>
      <c r="G45" s="53"/>
      <c r="H45" s="54"/>
      <c r="I45" s="54"/>
      <c r="J45" s="54"/>
    </row>
    <row r="46" spans="2:14">
      <c r="B46" s="132" t="s">
        <v>82</v>
      </c>
      <c r="C46" s="163" t="s">
        <v>141</v>
      </c>
      <c r="D46" s="163"/>
      <c r="E46" s="163"/>
      <c r="F46" s="167" t="s">
        <v>148</v>
      </c>
      <c r="G46" s="167"/>
    </row>
    <row r="47" spans="2:14" ht="9" customHeight="1">
      <c r="B47" s="55"/>
      <c r="C47" s="55"/>
      <c r="D47" s="55"/>
      <c r="E47" s="133"/>
      <c r="F47" s="173"/>
      <c r="G47" s="173"/>
    </row>
    <row r="48" spans="2:14">
      <c r="C48" s="69"/>
    </row>
    <row r="49" spans="3:3">
      <c r="C49" s="69"/>
    </row>
    <row r="50" spans="3:3">
      <c r="C50" s="69"/>
    </row>
    <row r="51" spans="3:3">
      <c r="C51" s="69"/>
    </row>
    <row r="52" spans="3:3">
      <c r="C52" s="69"/>
    </row>
    <row r="53" spans="3:3">
      <c r="C53" s="69"/>
    </row>
    <row r="54" spans="3:3">
      <c r="C54" s="69"/>
    </row>
    <row r="55" spans="3:3">
      <c r="C55" s="69"/>
    </row>
    <row r="56" spans="3:3">
      <c r="C56" s="69"/>
    </row>
    <row r="57" spans="3:3">
      <c r="C57" s="69"/>
    </row>
  </sheetData>
  <mergeCells count="54">
    <mergeCell ref="B1:H1"/>
    <mergeCell ref="B2:H3"/>
    <mergeCell ref="B20:H20"/>
    <mergeCell ref="B21:B22"/>
    <mergeCell ref="C21:C22"/>
    <mergeCell ref="D21:D22"/>
    <mergeCell ref="E21:E22"/>
    <mergeCell ref="F21:G21"/>
    <mergeCell ref="H21:H22"/>
    <mergeCell ref="B13:H13"/>
    <mergeCell ref="C14:D14"/>
    <mergeCell ref="E14:F14"/>
    <mergeCell ref="G14:H14"/>
    <mergeCell ref="C15:D15"/>
    <mergeCell ref="E15:F15"/>
    <mergeCell ref="G15:H15"/>
    <mergeCell ref="F47:G47"/>
    <mergeCell ref="E36:F36"/>
    <mergeCell ref="F43:G43"/>
    <mergeCell ref="E37:F37"/>
    <mergeCell ref="F44:G44"/>
    <mergeCell ref="E38:F38"/>
    <mergeCell ref="F41:G41"/>
    <mergeCell ref="F42:G42"/>
    <mergeCell ref="E39:F39"/>
    <mergeCell ref="F46:G46"/>
    <mergeCell ref="G36:H36"/>
    <mergeCell ref="G39:H39"/>
    <mergeCell ref="G37:H37"/>
    <mergeCell ref="F40:G40"/>
    <mergeCell ref="G38:H38"/>
    <mergeCell ref="C40:E40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42:E42"/>
    <mergeCell ref="C44:E44"/>
    <mergeCell ref="C46:E46"/>
    <mergeCell ref="M20:M21"/>
    <mergeCell ref="N20:N21"/>
    <mergeCell ref="C35:D35"/>
    <mergeCell ref="C36:D36"/>
    <mergeCell ref="C37:D37"/>
    <mergeCell ref="E35:F35"/>
    <mergeCell ref="B34:H34"/>
    <mergeCell ref="G35:H35"/>
    <mergeCell ref="C38:D38"/>
    <mergeCell ref="C39:D39"/>
  </mergeCells>
  <printOptions horizontalCentered="1"/>
  <pageMargins left="0.19685039370078741" right="0.19685039370078741" top="0.54" bottom="0.23622047244094491" header="0.31496062992125984" footer="0.31496062992125984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4"/>
  <sheetViews>
    <sheetView topLeftCell="A31" zoomScale="110" zoomScaleNormal="110" workbookViewId="0">
      <selection activeCell="B1" sqref="B1:H47"/>
    </sheetView>
  </sheetViews>
  <sheetFormatPr defaultColWidth="9.140625" defaultRowHeight="15.75" outlineLevelRow="1"/>
  <cols>
    <col min="1" max="1" width="2.85546875" style="3" customWidth="1"/>
    <col min="2" max="2" width="59.140625" style="3" customWidth="1"/>
    <col min="3" max="3" width="21.7109375" style="141" customWidth="1"/>
    <col min="4" max="4" width="9.140625" style="142" customWidth="1"/>
    <col min="5" max="5" width="10.28515625" style="142" customWidth="1"/>
    <col min="6" max="6" width="10" style="3" customWidth="1"/>
    <col min="7" max="7" width="10.28515625" style="3" customWidth="1"/>
    <col min="8" max="8" width="10.7109375" style="3" customWidth="1"/>
    <col min="9" max="9" width="12.28515625" style="3" customWidth="1"/>
    <col min="10" max="12" width="9.140625" style="3"/>
    <col min="13" max="13" width="17.5703125" style="110" customWidth="1"/>
    <col min="14" max="14" width="15.8554687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2.75" customHeight="1"/>
    <row r="5" spans="1:9">
      <c r="B5" s="3" t="s">
        <v>0</v>
      </c>
      <c r="D5" s="188" t="s">
        <v>59</v>
      </c>
      <c r="E5" s="188"/>
    </row>
    <row r="6" spans="1:9">
      <c r="B6" s="3" t="s">
        <v>1</v>
      </c>
      <c r="D6" s="135">
        <v>1957</v>
      </c>
      <c r="E6" s="135"/>
    </row>
    <row r="7" spans="1:9" hidden="1" outlineLevel="1">
      <c r="B7" s="3" t="s">
        <v>2</v>
      </c>
      <c r="D7" s="135">
        <v>2</v>
      </c>
      <c r="E7" s="135"/>
    </row>
    <row r="8" spans="1:9" hidden="1" outlineLevel="1">
      <c r="B8" s="3" t="s">
        <v>3</v>
      </c>
      <c r="D8" s="135">
        <v>12</v>
      </c>
      <c r="E8" s="135"/>
    </row>
    <row r="9" spans="1:9" ht="30.75" hidden="1" customHeight="1" outlineLevel="1">
      <c r="B9" s="13" t="s">
        <v>4</v>
      </c>
      <c r="C9" s="14"/>
      <c r="D9" s="135" t="s">
        <v>60</v>
      </c>
      <c r="E9" s="135"/>
    </row>
    <row r="10" spans="1:9" collapsed="1">
      <c r="B10" s="3" t="s">
        <v>5</v>
      </c>
      <c r="D10" s="135" t="s">
        <v>128</v>
      </c>
      <c r="E10" s="135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14"/>
      <c r="D12" s="109" t="s">
        <v>61</v>
      </c>
      <c r="E12" s="135"/>
      <c r="I12" s="10"/>
    </row>
    <row r="13" spans="1:9" ht="14.25" customHeight="1" collapsed="1">
      <c r="B13" s="13"/>
      <c r="C13" s="14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7.2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898662.68060387461</v>
      </c>
      <c r="D16" s="191"/>
      <c r="E16" s="153">
        <v>644338.01060387469</v>
      </c>
      <c r="F16" s="154"/>
      <c r="G16" s="153">
        <v>254324.66999999998</v>
      </c>
      <c r="H16" s="159"/>
      <c r="I16" s="10"/>
    </row>
    <row r="17" spans="2:14">
      <c r="B17" s="47" t="s">
        <v>13</v>
      </c>
      <c r="C17" s="151">
        <v>710294.37</v>
      </c>
      <c r="D17" s="189"/>
      <c r="E17" s="151">
        <v>515367.96</v>
      </c>
      <c r="F17" s="152"/>
      <c r="G17" s="151">
        <v>194926.40999999997</v>
      </c>
      <c r="H17" s="160"/>
      <c r="I17" s="10"/>
    </row>
    <row r="18" spans="2:14" ht="16.5" thickBot="1">
      <c r="B18" s="49" t="s">
        <v>78</v>
      </c>
      <c r="C18" s="161">
        <v>836714.54652745195</v>
      </c>
      <c r="D18" s="190"/>
      <c r="E18" s="164">
        <v>642642.54652745195</v>
      </c>
      <c r="F18" s="165"/>
      <c r="G18" s="164">
        <v>194072</v>
      </c>
      <c r="H18" s="166"/>
      <c r="I18" s="10"/>
    </row>
    <row r="19" spans="2:14" ht="29.25" customHeight="1" thickBot="1">
      <c r="B19" s="11" t="s">
        <v>135</v>
      </c>
      <c r="C19" s="170">
        <f>E19+G19</f>
        <v>-126420.17652745196</v>
      </c>
      <c r="D19" s="171"/>
      <c r="E19" s="168">
        <f>E17-E18</f>
        <v>-127274.58652745193</v>
      </c>
      <c r="F19" s="169"/>
      <c r="G19" s="168">
        <f>G17-G18</f>
        <v>854.40999999997439</v>
      </c>
      <c r="H19" s="172"/>
      <c r="I19" s="10"/>
    </row>
    <row r="20" spans="2:14">
      <c r="B20" s="13"/>
      <c r="C20" s="14"/>
      <c r="D20" s="109"/>
      <c r="E20" s="135"/>
      <c r="I20" s="10"/>
    </row>
    <row r="21" spans="2:14" ht="22.5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85234.18</v>
      </c>
      <c r="N23" s="111">
        <f>M23</f>
        <v>85234.18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1.92</v>
      </c>
      <c r="F24" s="22">
        <f>$M$23/$M$24*E24</f>
        <v>12815.162537196553</v>
      </c>
      <c r="G24" s="23">
        <f>$N$23/$N$24*E24</f>
        <v>12815.162537196553</v>
      </c>
      <c r="H24" s="24">
        <f>F24-G24</f>
        <v>0</v>
      </c>
      <c r="I24" s="25"/>
      <c r="J24" s="25"/>
      <c r="K24" s="138"/>
      <c r="L24" s="26"/>
      <c r="M24" s="112">
        <f>E33-E31</f>
        <v>12.770000000000001</v>
      </c>
      <c r="N24" s="112">
        <f>E33-E31</f>
        <v>12.770000000000001</v>
      </c>
    </row>
    <row r="25" spans="2:14" ht="56.25">
      <c r="B25" s="27" t="s">
        <v>90</v>
      </c>
      <c r="C25" s="5" t="s">
        <v>111</v>
      </c>
      <c r="D25" s="20" t="s">
        <v>98</v>
      </c>
      <c r="E25" s="6">
        <v>2.0499999999999998</v>
      </c>
      <c r="F25" s="22">
        <f t="shared" ref="F25:F32" si="0">$M$23/$M$24*E25</f>
        <v>13682.855833985901</v>
      </c>
      <c r="G25" s="23">
        <f t="shared" ref="G25:G29" si="1">$N$23/$N$24*E25</f>
        <v>13682.855833985901</v>
      </c>
      <c r="H25" s="24">
        <f t="shared" ref="H25:H30" si="2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si="0"/>
        <v>2135.860422866092</v>
      </c>
      <c r="G26" s="23">
        <f t="shared" si="1"/>
        <v>2135.860422866092</v>
      </c>
      <c r="H26" s="24">
        <f t="shared" si="2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0.5</v>
      </c>
      <c r="F27" s="22">
        <f>($M$23/12*2)/$M$24*E27</f>
        <v>556.21365178804479</v>
      </c>
      <c r="G27" s="23">
        <f>($N$23/12*2)/$N$24*E27</f>
        <v>556.21365178804479</v>
      </c>
      <c r="H27" s="24">
        <f t="shared" si="2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1.18</v>
      </c>
      <c r="F28" s="22">
        <f t="shared" si="0"/>
        <v>7875.9853093187139</v>
      </c>
      <c r="G28" s="23">
        <f t="shared" si="1"/>
        <v>7875.9853093187139</v>
      </c>
      <c r="H28" s="24">
        <f t="shared" si="2"/>
        <v>0</v>
      </c>
      <c r="I28" s="25"/>
      <c r="J28" s="25"/>
    </row>
    <row r="29" spans="2:14" ht="210.75" customHeight="1">
      <c r="B29" s="27" t="s">
        <v>110</v>
      </c>
      <c r="C29" s="30" t="s">
        <v>101</v>
      </c>
      <c r="D29" s="20" t="s">
        <v>98</v>
      </c>
      <c r="E29" s="6">
        <v>5.61</v>
      </c>
      <c r="F29" s="22">
        <f t="shared" si="0"/>
        <v>37444.303038371181</v>
      </c>
      <c r="G29" s="23">
        <f t="shared" si="1"/>
        <v>37444.303038371181</v>
      </c>
      <c r="H29" s="24">
        <f t="shared" si="2"/>
        <v>0</v>
      </c>
      <c r="I29" s="25"/>
      <c r="J29" s="25"/>
      <c r="K29" s="2"/>
      <c r="L29" s="1"/>
      <c r="M29" s="113"/>
      <c r="N29" s="113"/>
    </row>
    <row r="30" spans="2:14" ht="108.75" customHeight="1">
      <c r="B30" s="27" t="s">
        <v>102</v>
      </c>
      <c r="C30" s="5" t="s">
        <v>111</v>
      </c>
      <c r="D30" s="20" t="s">
        <v>98</v>
      </c>
      <c r="E30" s="6">
        <v>0.24</v>
      </c>
      <c r="F30" s="22">
        <f t="shared" si="0"/>
        <v>1601.8953171495691</v>
      </c>
      <c r="G30" s="23">
        <f t="shared" ref="G30" si="3">$N$23/$N$24*E30</f>
        <v>1601.8953171495691</v>
      </c>
      <c r="H30" s="24">
        <f t="shared" si="2"/>
        <v>0</v>
      </c>
      <c r="I30" s="25"/>
      <c r="J30" s="25"/>
    </row>
    <row r="31" spans="2:14" ht="56.25">
      <c r="B31" s="28" t="s">
        <v>103</v>
      </c>
      <c r="C31" s="5" t="s">
        <v>111</v>
      </c>
      <c r="D31" s="20" t="s">
        <v>98</v>
      </c>
      <c r="E31" s="6">
        <v>3.6</v>
      </c>
      <c r="F31" s="22">
        <v>27274.94</v>
      </c>
      <c r="G31" s="4">
        <v>39020</v>
      </c>
      <c r="H31" s="24">
        <f>F31-G31</f>
        <v>-11745.060000000001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0.95</v>
      </c>
      <c r="F32" s="22">
        <f t="shared" si="0"/>
        <v>6340.8356303837108</v>
      </c>
      <c r="G32" s="23">
        <f t="shared" ref="G32" si="4">$N$23/$N$24*E32</f>
        <v>6340.8356303837108</v>
      </c>
      <c r="H32" s="35">
        <f>F32-G32</f>
        <v>0</v>
      </c>
      <c r="I32" s="25"/>
      <c r="J32" s="25"/>
    </row>
    <row r="33" spans="2:14" ht="16.5" thickBot="1">
      <c r="B33" s="36" t="s">
        <v>89</v>
      </c>
      <c r="C33" s="37"/>
      <c r="D33" s="37"/>
      <c r="E33" s="38">
        <f>SUM(E24:E32)</f>
        <v>16.37</v>
      </c>
      <c r="F33" s="39">
        <f>SUM(F24:F32)</f>
        <v>109728.05174105975</v>
      </c>
      <c r="G33" s="40">
        <f>SUM(G24:G32)</f>
        <v>121473.11174105975</v>
      </c>
      <c r="H33" s="41">
        <f>SUM(H24:H32)</f>
        <v>-11745.060000000001</v>
      </c>
      <c r="I33" s="42"/>
      <c r="J33" s="42"/>
    </row>
    <row r="34" spans="2:14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45"/>
      <c r="L36" s="46"/>
      <c r="M36" s="114"/>
      <c r="N36" s="114"/>
    </row>
    <row r="37" spans="2:14">
      <c r="B37" s="95" t="s">
        <v>12</v>
      </c>
      <c r="C37" s="149">
        <f>E37+G37</f>
        <v>1008390.7323449344</v>
      </c>
      <c r="D37" s="150"/>
      <c r="E37" s="153">
        <f>F24+F25+F26+F27+F28+F29+F30+F32+E16</f>
        <v>726791.12234493438</v>
      </c>
      <c r="F37" s="154"/>
      <c r="G37" s="153">
        <f>F31+G16</f>
        <v>281599.61</v>
      </c>
      <c r="H37" s="159"/>
      <c r="I37" s="48"/>
      <c r="J37" s="48"/>
      <c r="K37" s="7"/>
      <c r="L37" s="7"/>
      <c r="M37" s="115"/>
    </row>
    <row r="38" spans="2:14">
      <c r="B38" s="47" t="s">
        <v>13</v>
      </c>
      <c r="C38" s="151">
        <f>E38+G38</f>
        <v>769608.37</v>
      </c>
      <c r="D38" s="152"/>
      <c r="E38" s="151">
        <f>E17+44934.85</f>
        <v>560302.81000000006</v>
      </c>
      <c r="F38" s="152"/>
      <c r="G38" s="151">
        <f>G17+14379.15</f>
        <v>209305.55999999997</v>
      </c>
      <c r="H38" s="160"/>
      <c r="I38" s="48"/>
      <c r="J38" s="48"/>
      <c r="K38" s="9"/>
      <c r="L38" s="7"/>
      <c r="M38" s="115"/>
    </row>
    <row r="39" spans="2:14" ht="16.5" thickBot="1">
      <c r="B39" s="49" t="s">
        <v>78</v>
      </c>
      <c r="C39" s="161">
        <f>E39+G39</f>
        <v>958187.65826851176</v>
      </c>
      <c r="D39" s="162"/>
      <c r="E39" s="164">
        <f>G24+G25+G26+G27+G28+G29+G30+G32+E18</f>
        <v>725095.65826851176</v>
      </c>
      <c r="F39" s="165"/>
      <c r="G39" s="164">
        <f>G31+G18</f>
        <v>233092</v>
      </c>
      <c r="H39" s="166"/>
      <c r="I39" s="48"/>
      <c r="J39" s="48"/>
      <c r="K39" s="50"/>
      <c r="L39" s="50"/>
    </row>
    <row r="40" spans="2:14" ht="29.25" customHeight="1" thickBot="1">
      <c r="B40" s="11" t="s">
        <v>136</v>
      </c>
      <c r="C40" s="170">
        <f>E40+G40</f>
        <v>-188579.28826851174</v>
      </c>
      <c r="D40" s="171"/>
      <c r="E40" s="168">
        <f>E38-E39</f>
        <v>-164792.84826851171</v>
      </c>
      <c r="F40" s="169"/>
      <c r="G40" s="168">
        <f>G38-G39</f>
        <v>-23786.440000000031</v>
      </c>
      <c r="H40" s="172"/>
      <c r="I40" s="48"/>
      <c r="J40" s="48"/>
      <c r="K40" s="50"/>
      <c r="L40" s="50"/>
    </row>
    <row r="41" spans="2:14" ht="34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2"/>
      <c r="L41" s="2"/>
      <c r="M41" s="113"/>
      <c r="N41" s="113"/>
    </row>
    <row r="42" spans="2:14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2"/>
      <c r="L43" s="2"/>
      <c r="M43" s="113"/>
      <c r="N43" s="113"/>
    </row>
    <row r="44" spans="2:14" ht="9.75" customHeight="1">
      <c r="B44" s="132"/>
      <c r="C44" s="132"/>
      <c r="D44" s="132"/>
      <c r="E44" s="133"/>
      <c r="F44" s="167"/>
      <c r="G44" s="167"/>
      <c r="H44" s="132"/>
      <c r="I44" s="132"/>
      <c r="J44" s="132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4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4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4" ht="9" customHeight="1">
      <c r="B48" s="55"/>
      <c r="C48" s="55"/>
      <c r="D48" s="55"/>
      <c r="E48" s="133"/>
      <c r="F48" s="173"/>
      <c r="G48" s="173"/>
    </row>
    <row r="49" spans="3:3">
      <c r="C49" s="69"/>
    </row>
    <row r="50" spans="3:3">
      <c r="C50" s="69"/>
    </row>
    <row r="51" spans="3:3">
      <c r="C51" s="69"/>
    </row>
    <row r="52" spans="3:3">
      <c r="C52" s="69"/>
    </row>
    <row r="53" spans="3:3">
      <c r="C53" s="69"/>
    </row>
    <row r="54" spans="3:3">
      <c r="C54" s="69"/>
    </row>
  </sheetData>
  <mergeCells count="55"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E16:F16"/>
    <mergeCell ref="F48:G48"/>
    <mergeCell ref="E37:F37"/>
    <mergeCell ref="F44:G44"/>
    <mergeCell ref="E38:F38"/>
    <mergeCell ref="F45:G45"/>
    <mergeCell ref="E39:F39"/>
    <mergeCell ref="F42:G42"/>
    <mergeCell ref="F43:G43"/>
    <mergeCell ref="E40:F40"/>
    <mergeCell ref="F47:G47"/>
    <mergeCell ref="G37:H37"/>
    <mergeCell ref="G40:H40"/>
    <mergeCell ref="G38:H38"/>
    <mergeCell ref="F41:G41"/>
    <mergeCell ref="G39:H39"/>
    <mergeCell ref="C41:E41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43:E43"/>
    <mergeCell ref="C45:E45"/>
    <mergeCell ref="C47:E47"/>
    <mergeCell ref="M21:M22"/>
    <mergeCell ref="N21:N22"/>
    <mergeCell ref="C36:D36"/>
    <mergeCell ref="C37:D37"/>
    <mergeCell ref="C38:D38"/>
    <mergeCell ref="E36:F36"/>
    <mergeCell ref="B35:H35"/>
    <mergeCell ref="G36:H36"/>
    <mergeCell ref="C39:D39"/>
    <mergeCell ref="C40:D40"/>
  </mergeCells>
  <printOptions horizontalCentered="1"/>
  <pageMargins left="0.19685039370078741" right="0.19685039370078741" top="0.16" bottom="0.24" header="0.31" footer="0.24"/>
  <pageSetup paperSize="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opLeftCell="A32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3" customWidth="1"/>
    <col min="2" max="2" width="58" style="3" customWidth="1"/>
    <col min="3" max="3" width="15.28515625" style="56" customWidth="1"/>
    <col min="4" max="4" width="10.28515625" style="131" customWidth="1"/>
    <col min="5" max="5" width="10.42578125" style="131" customWidth="1"/>
    <col min="6" max="6" width="10.7109375" style="3" customWidth="1"/>
    <col min="7" max="7" width="12" style="3" customWidth="1"/>
    <col min="8" max="8" width="10.42578125" style="3" customWidth="1"/>
    <col min="9" max="9" width="12.28515625" style="3" customWidth="1"/>
    <col min="10" max="12" width="9.140625" style="3"/>
    <col min="13" max="13" width="14" style="110" customWidth="1"/>
    <col min="14" max="14" width="16.7109375" style="110" customWidth="1"/>
    <col min="15" max="16384" width="9.140625" style="3"/>
  </cols>
  <sheetData>
    <row r="1" spans="1:9">
      <c r="B1" s="202" t="s">
        <v>107</v>
      </c>
      <c r="C1" s="202"/>
      <c r="D1" s="202"/>
      <c r="E1" s="202"/>
      <c r="F1" s="202"/>
      <c r="G1" s="202"/>
      <c r="H1" s="202"/>
    </row>
    <row r="2" spans="1:9">
      <c r="B2" s="202" t="s">
        <v>108</v>
      </c>
      <c r="C2" s="202"/>
      <c r="D2" s="202"/>
      <c r="E2" s="202"/>
      <c r="F2" s="202"/>
      <c r="G2" s="202"/>
      <c r="H2" s="202"/>
    </row>
    <row r="3" spans="1:9">
      <c r="B3" s="202" t="s">
        <v>143</v>
      </c>
      <c r="C3" s="202"/>
      <c r="D3" s="202"/>
      <c r="E3" s="202"/>
      <c r="F3" s="202"/>
      <c r="G3" s="202"/>
      <c r="H3" s="202"/>
    </row>
    <row r="4" spans="1:9">
      <c r="B4" s="202" t="s">
        <v>150</v>
      </c>
      <c r="C4" s="202"/>
      <c r="D4" s="202"/>
      <c r="E4" s="202"/>
      <c r="F4" s="202"/>
      <c r="G4" s="202"/>
      <c r="H4" s="202"/>
    </row>
    <row r="5" spans="1:9" ht="26.25" customHeight="1">
      <c r="A5" s="12"/>
      <c r="B5" s="176" t="s">
        <v>151</v>
      </c>
      <c r="C5" s="176"/>
      <c r="D5" s="176"/>
      <c r="E5" s="176"/>
      <c r="F5" s="176"/>
      <c r="G5" s="176"/>
      <c r="H5" s="176"/>
    </row>
    <row r="6" spans="1:9" ht="16.5" customHeight="1">
      <c r="B6" s="176"/>
      <c r="C6" s="176"/>
      <c r="D6" s="176"/>
      <c r="E6" s="176"/>
      <c r="F6" s="176"/>
      <c r="G6" s="176"/>
      <c r="H6" s="176"/>
    </row>
    <row r="7" spans="1:9" ht="8.25" customHeight="1">
      <c r="B7" s="124"/>
      <c r="C7" s="124"/>
      <c r="D7" s="124"/>
      <c r="E7" s="124"/>
      <c r="F7" s="124"/>
      <c r="G7" s="124"/>
      <c r="H7" s="124"/>
    </row>
    <row r="8" spans="1:9">
      <c r="B8" s="90" t="s">
        <v>0</v>
      </c>
      <c r="C8" s="91"/>
      <c r="D8" s="194" t="s">
        <v>62</v>
      </c>
      <c r="E8" s="194"/>
      <c r="F8" s="90"/>
    </row>
    <row r="9" spans="1:9">
      <c r="B9" s="90" t="s">
        <v>1</v>
      </c>
      <c r="C9" s="91"/>
      <c r="D9" s="127">
        <v>1991</v>
      </c>
      <c r="E9" s="127"/>
      <c r="F9" s="90"/>
    </row>
    <row r="10" spans="1:9" hidden="1" outlineLevel="1">
      <c r="B10" s="90" t="s">
        <v>2</v>
      </c>
      <c r="C10" s="91"/>
      <c r="D10" s="127">
        <v>4</v>
      </c>
      <c r="E10" s="127"/>
      <c r="F10" s="90"/>
    </row>
    <row r="11" spans="1:9" hidden="1" outlineLevel="1">
      <c r="B11" s="90" t="s">
        <v>3</v>
      </c>
      <c r="C11" s="91"/>
      <c r="D11" s="127">
        <v>31</v>
      </c>
      <c r="E11" s="127"/>
      <c r="F11" s="90"/>
    </row>
    <row r="12" spans="1:9" ht="30.75" hidden="1" customHeight="1" outlineLevel="1">
      <c r="B12" s="92" t="s">
        <v>4</v>
      </c>
      <c r="C12" s="93"/>
      <c r="D12" s="127" t="s">
        <v>63</v>
      </c>
      <c r="E12" s="127"/>
      <c r="F12" s="90"/>
    </row>
    <row r="13" spans="1:9" collapsed="1">
      <c r="B13" s="90" t="s">
        <v>5</v>
      </c>
      <c r="C13" s="91"/>
      <c r="D13" s="127" t="s">
        <v>129</v>
      </c>
      <c r="E13" s="127"/>
      <c r="F13" s="90"/>
      <c r="I13" s="10"/>
    </row>
    <row r="14" spans="1:9" hidden="1" outlineLevel="1">
      <c r="B14" s="3" t="s">
        <v>6</v>
      </c>
      <c r="D14" s="125" t="s">
        <v>7</v>
      </c>
      <c r="E14" s="125"/>
    </row>
    <row r="15" spans="1:9" ht="30.75" hidden="1" customHeight="1" outlineLevel="1">
      <c r="B15" s="13" t="s">
        <v>8</v>
      </c>
      <c r="C15" s="57"/>
      <c r="D15" s="109" t="s">
        <v>64</v>
      </c>
      <c r="E15" s="125"/>
      <c r="I15" s="10"/>
    </row>
    <row r="16" spans="1:9" ht="16.5" collapsed="1" thickBot="1">
      <c r="B16" s="155" t="s">
        <v>149</v>
      </c>
      <c r="C16" s="155"/>
      <c r="D16" s="155"/>
      <c r="E16" s="155"/>
      <c r="F16" s="155"/>
      <c r="G16" s="155"/>
      <c r="H16" s="155"/>
      <c r="I16" s="10"/>
    </row>
    <row r="17" spans="2:14" ht="40.5" customHeight="1" thickBot="1">
      <c r="B17" s="94" t="s">
        <v>147</v>
      </c>
      <c r="C17" s="147" t="s">
        <v>104</v>
      </c>
      <c r="D17" s="148"/>
      <c r="E17" s="156" t="s">
        <v>10</v>
      </c>
      <c r="F17" s="157"/>
      <c r="G17" s="156" t="s">
        <v>11</v>
      </c>
      <c r="H17" s="158"/>
      <c r="I17" s="10"/>
    </row>
    <row r="18" spans="2:14">
      <c r="B18" s="95" t="s">
        <v>12</v>
      </c>
      <c r="C18" s="149">
        <v>2590584.91</v>
      </c>
      <c r="D18" s="150"/>
      <c r="E18" s="149">
        <v>1832614.64</v>
      </c>
      <c r="F18" s="150"/>
      <c r="G18" s="149">
        <v>757970.27</v>
      </c>
      <c r="H18" s="193"/>
      <c r="I18" s="10"/>
    </row>
    <row r="19" spans="2:14">
      <c r="B19" s="47" t="s">
        <v>13</v>
      </c>
      <c r="C19" s="151">
        <v>2540543.1100000003</v>
      </c>
      <c r="D19" s="152"/>
      <c r="E19" s="151">
        <v>1794959.52</v>
      </c>
      <c r="F19" s="152"/>
      <c r="G19" s="151">
        <v>745583.59000000008</v>
      </c>
      <c r="H19" s="160"/>
      <c r="I19" s="10"/>
    </row>
    <row r="20" spans="2:14" ht="16.5" thickBot="1">
      <c r="B20" s="49" t="s">
        <v>78</v>
      </c>
      <c r="C20" s="161">
        <v>2566913.6013000002</v>
      </c>
      <c r="D20" s="162"/>
      <c r="E20" s="161">
        <v>1841517.6013000002</v>
      </c>
      <c r="F20" s="162"/>
      <c r="G20" s="161">
        <v>737449</v>
      </c>
      <c r="H20" s="192"/>
      <c r="I20" s="10"/>
    </row>
    <row r="21" spans="2:14" ht="25.5" thickBot="1">
      <c r="B21" s="11" t="s">
        <v>135</v>
      </c>
      <c r="C21" s="170">
        <f>C19-C20</f>
        <v>-26370.491299999878</v>
      </c>
      <c r="D21" s="171"/>
      <c r="E21" s="168">
        <f>E19-E20</f>
        <v>-46558.081300000194</v>
      </c>
      <c r="F21" s="169"/>
      <c r="G21" s="168">
        <f>G19-G20</f>
        <v>8134.5900000000838</v>
      </c>
      <c r="H21" s="172"/>
      <c r="I21" s="10"/>
    </row>
    <row r="22" spans="2:14">
      <c r="B22" s="13"/>
      <c r="C22" s="57"/>
      <c r="D22" s="109"/>
      <c r="E22" s="125"/>
      <c r="I22" s="10"/>
    </row>
    <row r="23" spans="2:14" ht="34.5" customHeight="1" thickBot="1">
      <c r="B23" s="197" t="s">
        <v>152</v>
      </c>
      <c r="C23" s="197"/>
      <c r="D23" s="197"/>
      <c r="E23" s="197"/>
      <c r="F23" s="197"/>
      <c r="G23" s="197"/>
      <c r="H23" s="197"/>
      <c r="L23" s="10"/>
      <c r="M23" s="145" t="s">
        <v>137</v>
      </c>
      <c r="N23" s="145" t="s">
        <v>138</v>
      </c>
    </row>
    <row r="24" spans="2:14" ht="31.5" customHeight="1">
      <c r="B24" s="198" t="s">
        <v>92</v>
      </c>
      <c r="C24" s="200" t="s">
        <v>93</v>
      </c>
      <c r="D24" s="200" t="s">
        <v>145</v>
      </c>
      <c r="E24" s="182" t="s">
        <v>153</v>
      </c>
      <c r="F24" s="203" t="s">
        <v>95</v>
      </c>
      <c r="G24" s="204"/>
      <c r="H24" s="186" t="s">
        <v>113</v>
      </c>
      <c r="L24" s="10"/>
      <c r="M24" s="146"/>
      <c r="N24" s="146"/>
    </row>
    <row r="25" spans="2:14" ht="44.25" customHeight="1" thickBot="1">
      <c r="B25" s="199"/>
      <c r="C25" s="201"/>
      <c r="D25" s="201"/>
      <c r="E25" s="183"/>
      <c r="F25" s="17" t="s">
        <v>83</v>
      </c>
      <c r="G25" s="18" t="s">
        <v>84</v>
      </c>
      <c r="H25" s="187"/>
      <c r="M25" s="111">
        <v>200639.7</v>
      </c>
      <c r="N25" s="111">
        <f>M25*1.05</f>
        <v>210671.68500000003</v>
      </c>
    </row>
    <row r="26" spans="2:14" ht="38.25">
      <c r="B26" s="19" t="s">
        <v>96</v>
      </c>
      <c r="C26" s="30" t="s">
        <v>97</v>
      </c>
      <c r="D26" s="20" t="s">
        <v>98</v>
      </c>
      <c r="E26" s="21">
        <v>1.06</v>
      </c>
      <c r="F26" s="22">
        <f>$M$25/$M$26*E26</f>
        <v>20648.357475728157</v>
      </c>
      <c r="G26" s="23">
        <f>$N$25/$N$26*E26</f>
        <v>21680.775349514563</v>
      </c>
      <c r="H26" s="24">
        <f>F26-G26</f>
        <v>-1032.4178737864058</v>
      </c>
      <c r="I26" s="72"/>
      <c r="J26" s="129"/>
      <c r="K26" s="129"/>
      <c r="L26" s="26"/>
      <c r="M26" s="112">
        <f>E35-E33</f>
        <v>10.3</v>
      </c>
      <c r="N26" s="112">
        <f>E35-E33</f>
        <v>10.3</v>
      </c>
    </row>
    <row r="27" spans="2:14" ht="51.75">
      <c r="B27" s="73" t="s">
        <v>90</v>
      </c>
      <c r="C27" s="30" t="s">
        <v>97</v>
      </c>
      <c r="D27" s="20" t="s">
        <v>98</v>
      </c>
      <c r="E27" s="6">
        <v>1.19</v>
      </c>
      <c r="F27" s="22">
        <f t="shared" ref="F27:F34" si="0">$M$25/$M$26*E27</f>
        <v>23180.703203883495</v>
      </c>
      <c r="G27" s="23">
        <f t="shared" ref="G27:G31" si="1">$N$25/$N$26*E27</f>
        <v>24339.738364077668</v>
      </c>
      <c r="H27" s="24">
        <f t="shared" ref="H27:H32" si="2">F27-G27</f>
        <v>-1159.0351601941729</v>
      </c>
      <c r="I27" s="74"/>
      <c r="J27" s="2"/>
      <c r="K27" s="2"/>
      <c r="L27" s="2"/>
      <c r="M27" s="113"/>
      <c r="N27" s="113"/>
    </row>
    <row r="28" spans="2:14" ht="24">
      <c r="B28" s="28" t="s">
        <v>85</v>
      </c>
      <c r="C28" s="30" t="s">
        <v>97</v>
      </c>
      <c r="D28" s="20" t="s">
        <v>98</v>
      </c>
      <c r="E28" s="6">
        <v>0.32</v>
      </c>
      <c r="F28" s="22">
        <f t="shared" si="0"/>
        <v>6233.4664077669904</v>
      </c>
      <c r="G28" s="23">
        <f t="shared" si="1"/>
        <v>6545.13972815534</v>
      </c>
      <c r="H28" s="24">
        <f t="shared" si="2"/>
        <v>-311.67332038834957</v>
      </c>
      <c r="I28" s="50"/>
      <c r="L28" s="10"/>
    </row>
    <row r="29" spans="2:14" ht="28.5" customHeight="1">
      <c r="B29" s="75" t="s">
        <v>99</v>
      </c>
      <c r="C29" s="29" t="s">
        <v>100</v>
      </c>
      <c r="D29" s="20" t="s">
        <v>98</v>
      </c>
      <c r="E29" s="6">
        <v>0.12</v>
      </c>
      <c r="F29" s="22">
        <f t="shared" si="0"/>
        <v>2337.5499029126213</v>
      </c>
      <c r="G29" s="23">
        <f t="shared" si="1"/>
        <v>2454.4273980582525</v>
      </c>
      <c r="H29" s="24">
        <f t="shared" si="2"/>
        <v>-116.8774951456312</v>
      </c>
      <c r="I29" s="50"/>
      <c r="L29" s="10"/>
    </row>
    <row r="30" spans="2:14" ht="57.75" customHeight="1">
      <c r="B30" s="73" t="s">
        <v>86</v>
      </c>
      <c r="C30" s="5" t="s">
        <v>112</v>
      </c>
      <c r="D30" s="20" t="s">
        <v>98</v>
      </c>
      <c r="E30" s="6">
        <v>1.18</v>
      </c>
      <c r="F30" s="22">
        <f t="shared" si="0"/>
        <v>22985.907378640775</v>
      </c>
      <c r="G30" s="23">
        <f t="shared" si="1"/>
        <v>24135.202747572814</v>
      </c>
      <c r="H30" s="24">
        <f t="shared" si="2"/>
        <v>-1149.2953689320384</v>
      </c>
      <c r="I30" s="50"/>
    </row>
    <row r="31" spans="2:14" ht="213.75" customHeight="1">
      <c r="B31" s="27" t="s">
        <v>109</v>
      </c>
      <c r="C31" s="30" t="s">
        <v>101</v>
      </c>
      <c r="D31" s="20" t="s">
        <v>98</v>
      </c>
      <c r="E31" s="6">
        <v>5.61</v>
      </c>
      <c r="F31" s="22">
        <f t="shared" si="0"/>
        <v>109280.45796116506</v>
      </c>
      <c r="G31" s="23">
        <f t="shared" si="1"/>
        <v>114744.4808592233</v>
      </c>
      <c r="H31" s="24">
        <f t="shared" si="2"/>
        <v>-5464.0228980582469</v>
      </c>
      <c r="I31" s="74"/>
      <c r="J31" s="2"/>
      <c r="K31" s="2"/>
      <c r="L31" s="1"/>
      <c r="M31" s="113"/>
      <c r="N31" s="113"/>
    </row>
    <row r="32" spans="2:14" ht="114" customHeight="1">
      <c r="B32" s="73" t="s">
        <v>102</v>
      </c>
      <c r="C32" s="30" t="s">
        <v>97</v>
      </c>
      <c r="D32" s="20" t="s">
        <v>98</v>
      </c>
      <c r="E32" s="6">
        <v>0.24</v>
      </c>
      <c r="F32" s="22">
        <f t="shared" si="0"/>
        <v>4675.0998058252426</v>
      </c>
      <c r="G32" s="23">
        <f t="shared" ref="G32" si="3">$N$25/$N$26*E32</f>
        <v>4908.854796116505</v>
      </c>
      <c r="H32" s="24">
        <f t="shared" si="2"/>
        <v>-233.7549902912624</v>
      </c>
      <c r="I32" s="50"/>
    </row>
    <row r="33" spans="2:14" ht="24">
      <c r="B33" s="28" t="s">
        <v>103</v>
      </c>
      <c r="C33" s="30" t="s">
        <v>97</v>
      </c>
      <c r="D33" s="20" t="s">
        <v>98</v>
      </c>
      <c r="E33" s="6">
        <v>4.6399999999999997</v>
      </c>
      <c r="F33" s="22">
        <v>90385.26</v>
      </c>
      <c r="G33" s="4">
        <v>39028</v>
      </c>
      <c r="H33" s="24">
        <f>F33-G33</f>
        <v>51357.259999999995</v>
      </c>
      <c r="I33" s="50"/>
      <c r="L33" s="10"/>
    </row>
    <row r="34" spans="2:14" ht="16.5" thickBot="1">
      <c r="B34" s="76" t="s">
        <v>88</v>
      </c>
      <c r="C34" s="32" t="s">
        <v>101</v>
      </c>
      <c r="D34" s="33" t="s">
        <v>98</v>
      </c>
      <c r="E34" s="34">
        <v>0.57999999999999996</v>
      </c>
      <c r="F34" s="22">
        <f t="shared" si="0"/>
        <v>11298.15786407767</v>
      </c>
      <c r="G34" s="23">
        <f t="shared" ref="G34" si="4">$N$25/$N$26*E34</f>
        <v>11863.065757281553</v>
      </c>
      <c r="H34" s="35">
        <f>F34-G34</f>
        <v>-564.90789320388285</v>
      </c>
      <c r="I34" s="50"/>
    </row>
    <row r="35" spans="2:14" ht="16.5" thickBot="1">
      <c r="B35" s="78" t="s">
        <v>89</v>
      </c>
      <c r="C35" s="37"/>
      <c r="D35" s="37"/>
      <c r="E35" s="38">
        <f>SUM(E26:E34)</f>
        <v>14.94</v>
      </c>
      <c r="F35" s="39">
        <f>SUM(F26:F34)</f>
        <v>291024.95999999996</v>
      </c>
      <c r="G35" s="40">
        <f>SUM(G26:G34)</f>
        <v>249699.68499999997</v>
      </c>
      <c r="H35" s="41">
        <f>SUM(H26:H34)</f>
        <v>41325.275000000009</v>
      </c>
      <c r="I35" s="108"/>
    </row>
    <row r="36" spans="2:14">
      <c r="B36" s="10"/>
      <c r="C36" s="10"/>
      <c r="D36" s="10"/>
      <c r="E36" s="130"/>
      <c r="F36" s="130"/>
      <c r="G36" s="130"/>
      <c r="H36" s="131"/>
    </row>
    <row r="37" spans="2:14" ht="16.5" customHeight="1" thickBot="1">
      <c r="B37" s="155" t="s">
        <v>154</v>
      </c>
      <c r="C37" s="155"/>
      <c r="D37" s="155"/>
      <c r="E37" s="155"/>
      <c r="F37" s="155"/>
      <c r="G37" s="155"/>
      <c r="H37" s="155"/>
      <c r="I37" s="82"/>
      <c r="J37" s="82"/>
    </row>
    <row r="38" spans="2:14" ht="42" customHeight="1" thickBot="1">
      <c r="B38" s="94" t="s">
        <v>155</v>
      </c>
      <c r="C38" s="147" t="s">
        <v>104</v>
      </c>
      <c r="D38" s="148"/>
      <c r="E38" s="156" t="s">
        <v>10</v>
      </c>
      <c r="F38" s="157"/>
      <c r="G38" s="156" t="s">
        <v>11</v>
      </c>
      <c r="H38" s="158"/>
      <c r="I38" s="83"/>
      <c r="J38" s="84"/>
      <c r="K38" s="45"/>
      <c r="L38" s="46"/>
      <c r="M38" s="114"/>
      <c r="N38" s="114"/>
    </row>
    <row r="39" spans="2:14">
      <c r="B39" s="95" t="s">
        <v>12</v>
      </c>
      <c r="C39" s="153">
        <f>E39+G39</f>
        <v>2881609.87</v>
      </c>
      <c r="D39" s="154"/>
      <c r="E39" s="153">
        <f>F26+F27+F28+F29+F30+F31+F32+F34+E18</f>
        <v>2033254.3399999999</v>
      </c>
      <c r="F39" s="154"/>
      <c r="G39" s="153">
        <f>F33+G18</f>
        <v>848355.53</v>
      </c>
      <c r="H39" s="159"/>
      <c r="I39" s="85"/>
      <c r="J39" s="84"/>
      <c r="K39" s="7"/>
      <c r="L39" s="7"/>
      <c r="M39" s="115"/>
    </row>
    <row r="40" spans="2:14">
      <c r="B40" s="47" t="s">
        <v>13</v>
      </c>
      <c r="C40" s="151">
        <f>E40+G40</f>
        <v>2792626.95</v>
      </c>
      <c r="D40" s="152"/>
      <c r="E40" s="151">
        <f>E19+173792.74</f>
        <v>1968752.26</v>
      </c>
      <c r="F40" s="152"/>
      <c r="G40" s="151">
        <f>G19+78291.1</f>
        <v>823874.69000000006</v>
      </c>
      <c r="H40" s="160"/>
      <c r="I40" s="85"/>
      <c r="J40" s="84"/>
      <c r="K40" s="9"/>
      <c r="L40" s="7"/>
      <c r="M40" s="115"/>
    </row>
    <row r="41" spans="2:14" ht="16.5" thickBot="1">
      <c r="B41" s="49" t="s">
        <v>78</v>
      </c>
      <c r="C41" s="164">
        <f>E41+G41</f>
        <v>2828666.2863000003</v>
      </c>
      <c r="D41" s="165"/>
      <c r="E41" s="164">
        <f>G26+G27+G28+G29+G30+G31+G32+G34+E20</f>
        <v>2052189.2863000003</v>
      </c>
      <c r="F41" s="165"/>
      <c r="G41" s="164">
        <f>G33+G20</f>
        <v>776477</v>
      </c>
      <c r="H41" s="166"/>
      <c r="I41" s="85"/>
      <c r="J41" s="84"/>
      <c r="K41" s="50"/>
      <c r="L41" s="50"/>
    </row>
    <row r="42" spans="2:14" ht="29.25" customHeight="1" thickBot="1">
      <c r="B42" s="11" t="s">
        <v>136</v>
      </c>
      <c r="C42" s="170">
        <f>E42+G42</f>
        <v>-36039.336300000199</v>
      </c>
      <c r="D42" s="171"/>
      <c r="E42" s="168">
        <f>E40-E41</f>
        <v>-83437.02630000026</v>
      </c>
      <c r="F42" s="169"/>
      <c r="G42" s="168">
        <f>G40-G41</f>
        <v>47397.690000000061</v>
      </c>
      <c r="H42" s="172"/>
      <c r="I42" s="85"/>
      <c r="J42" s="84"/>
      <c r="K42" s="50"/>
      <c r="L42" s="50"/>
    </row>
    <row r="43" spans="2:14" ht="15" customHeight="1">
      <c r="B43" s="79"/>
      <c r="C43" s="96"/>
      <c r="D43" s="96"/>
      <c r="E43" s="97"/>
      <c r="F43" s="97"/>
      <c r="G43" s="97"/>
      <c r="H43" s="97"/>
      <c r="I43" s="86"/>
      <c r="J43" s="2"/>
      <c r="K43" s="2"/>
      <c r="L43" s="2"/>
      <c r="M43" s="113"/>
      <c r="N43" s="113"/>
    </row>
    <row r="44" spans="2:14" ht="15" customHeight="1">
      <c r="B44" s="86" t="s">
        <v>79</v>
      </c>
      <c r="C44" s="196" t="s">
        <v>139</v>
      </c>
      <c r="D44" s="196"/>
      <c r="E44" s="196"/>
      <c r="F44" s="167" t="s">
        <v>146</v>
      </c>
      <c r="G44" s="167"/>
      <c r="H44" s="86"/>
      <c r="I44" s="86"/>
      <c r="J44" s="2"/>
      <c r="K44" s="2"/>
      <c r="L44" s="2"/>
      <c r="M44" s="113"/>
      <c r="N44" s="113"/>
    </row>
    <row r="45" spans="2:14" ht="9" customHeight="1">
      <c r="B45" s="86"/>
      <c r="C45" s="80"/>
      <c r="D45" s="80"/>
      <c r="E45" s="126"/>
      <c r="F45" s="174"/>
      <c r="G45" s="174"/>
      <c r="H45" s="86"/>
      <c r="I45" s="86"/>
      <c r="J45" s="2"/>
      <c r="K45" s="2"/>
      <c r="L45" s="2"/>
      <c r="M45" s="113"/>
      <c r="N45" s="113"/>
    </row>
    <row r="46" spans="2:14" ht="15" customHeight="1">
      <c r="B46" s="86" t="s">
        <v>80</v>
      </c>
      <c r="C46" s="196" t="s">
        <v>139</v>
      </c>
      <c r="D46" s="196"/>
      <c r="E46" s="196"/>
      <c r="F46" s="167" t="s">
        <v>91</v>
      </c>
      <c r="G46" s="167"/>
      <c r="H46" s="86"/>
      <c r="I46" s="86"/>
    </row>
    <row r="47" spans="2:14" ht="9.75" customHeight="1">
      <c r="B47" s="86"/>
      <c r="C47" s="80"/>
      <c r="D47" s="80"/>
      <c r="E47" s="126"/>
      <c r="F47" s="167"/>
      <c r="G47" s="167"/>
      <c r="H47" s="86"/>
      <c r="I47" s="86"/>
    </row>
    <row r="48" spans="2:14" ht="15" customHeight="1">
      <c r="B48" s="86" t="s">
        <v>81</v>
      </c>
      <c r="C48" s="196" t="s">
        <v>140</v>
      </c>
      <c r="D48" s="196"/>
      <c r="E48" s="196"/>
      <c r="F48" s="167" t="s">
        <v>148</v>
      </c>
      <c r="G48" s="167"/>
      <c r="H48" s="86"/>
      <c r="I48" s="8"/>
    </row>
    <row r="49" spans="2:9" ht="10.5" customHeight="1">
      <c r="B49" s="53"/>
      <c r="C49" s="51"/>
      <c r="D49" s="51"/>
      <c r="E49" s="126"/>
      <c r="F49" s="52"/>
      <c r="G49" s="53"/>
      <c r="H49" s="54"/>
      <c r="I49" s="86"/>
    </row>
    <row r="50" spans="2:9" ht="14.25" customHeight="1">
      <c r="B50" s="86" t="s">
        <v>82</v>
      </c>
      <c r="C50" s="196" t="s">
        <v>140</v>
      </c>
      <c r="D50" s="196"/>
      <c r="E50" s="196"/>
      <c r="F50" s="167" t="s">
        <v>148</v>
      </c>
      <c r="G50" s="167"/>
      <c r="H50" s="86"/>
      <c r="I50" s="131"/>
    </row>
    <row r="51" spans="2:9">
      <c r="C51" s="130"/>
      <c r="E51" s="128"/>
    </row>
    <row r="52" spans="2:9">
      <c r="C52" s="3"/>
      <c r="D52" s="3"/>
      <c r="E52" s="3"/>
    </row>
  </sheetData>
  <mergeCells count="57">
    <mergeCell ref="C21:D21"/>
    <mergeCell ref="E21:F21"/>
    <mergeCell ref="G21:H21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39:D39"/>
    <mergeCell ref="F44:G44"/>
    <mergeCell ref="B1:H1"/>
    <mergeCell ref="F50:G50"/>
    <mergeCell ref="F47:G47"/>
    <mergeCell ref="F45:G45"/>
    <mergeCell ref="F46:G46"/>
    <mergeCell ref="E42:F42"/>
    <mergeCell ref="G42:H42"/>
    <mergeCell ref="E40:F40"/>
    <mergeCell ref="G40:H40"/>
    <mergeCell ref="E41:F41"/>
    <mergeCell ref="G41:H41"/>
    <mergeCell ref="B37:H37"/>
    <mergeCell ref="E38:F38"/>
    <mergeCell ref="B16:H16"/>
    <mergeCell ref="D24:D25"/>
    <mergeCell ref="E24:E25"/>
    <mergeCell ref="F24:G24"/>
    <mergeCell ref="H24:H25"/>
    <mergeCell ref="C38:D38"/>
    <mergeCell ref="B2:H2"/>
    <mergeCell ref="B3:H3"/>
    <mergeCell ref="B4:H4"/>
    <mergeCell ref="D8:E8"/>
    <mergeCell ref="B5:H6"/>
    <mergeCell ref="C48:E48"/>
    <mergeCell ref="F48:G48"/>
    <mergeCell ref="C50:E50"/>
    <mergeCell ref="M23:M24"/>
    <mergeCell ref="N23:N24"/>
    <mergeCell ref="C40:D40"/>
    <mergeCell ref="C41:D41"/>
    <mergeCell ref="C42:D42"/>
    <mergeCell ref="C44:E44"/>
    <mergeCell ref="C46:E46"/>
    <mergeCell ref="G38:H38"/>
    <mergeCell ref="E39:F39"/>
    <mergeCell ref="G39:H39"/>
    <mergeCell ref="B23:H23"/>
    <mergeCell ref="B24:B25"/>
    <mergeCell ref="C24:C25"/>
  </mergeCells>
  <printOptions horizontalCentered="1"/>
  <pageMargins left="0.15748031496062992" right="0.15748031496062992" top="0.15748031496062992" bottom="0.15748031496062992" header="0.16" footer="0.24"/>
  <pageSetup paperSize="9" scale="4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3" customWidth="1"/>
    <col min="2" max="2" width="58.140625" style="3" customWidth="1"/>
    <col min="3" max="3" width="14.7109375" style="131" customWidth="1"/>
    <col min="4" max="4" width="8.7109375" style="131" customWidth="1"/>
    <col min="5" max="5" width="10" style="131" customWidth="1"/>
    <col min="6" max="6" width="10.140625" style="3" customWidth="1"/>
    <col min="7" max="8" width="10.42578125" style="3" customWidth="1"/>
    <col min="9" max="9" width="12.28515625" style="3" customWidth="1"/>
    <col min="10" max="12" width="9.140625" style="3"/>
    <col min="13" max="13" width="13.85546875" style="110" customWidth="1"/>
    <col min="14" max="14" width="14.140625" style="110" customWidth="1"/>
    <col min="15" max="16384" width="9.140625" style="3"/>
  </cols>
  <sheetData>
    <row r="1" spans="1:9">
      <c r="B1" s="202" t="s">
        <v>107</v>
      </c>
      <c r="C1" s="202"/>
      <c r="D1" s="202"/>
      <c r="E1" s="202"/>
      <c r="F1" s="202"/>
      <c r="G1" s="202"/>
      <c r="H1" s="202"/>
    </row>
    <row r="2" spans="1:9">
      <c r="B2" s="202" t="s">
        <v>108</v>
      </c>
      <c r="C2" s="202"/>
      <c r="D2" s="202"/>
      <c r="E2" s="202"/>
      <c r="F2" s="202"/>
      <c r="G2" s="202"/>
      <c r="H2" s="202"/>
    </row>
    <row r="3" spans="1:9">
      <c r="B3" s="202" t="s">
        <v>144</v>
      </c>
      <c r="C3" s="202"/>
      <c r="D3" s="202"/>
      <c r="E3" s="202"/>
      <c r="F3" s="202"/>
      <c r="G3" s="202"/>
      <c r="H3" s="202"/>
    </row>
    <row r="4" spans="1:9">
      <c r="B4" s="202" t="s">
        <v>150</v>
      </c>
      <c r="C4" s="202"/>
      <c r="D4" s="202"/>
      <c r="E4" s="202"/>
      <c r="F4" s="202"/>
      <c r="G4" s="202"/>
      <c r="H4" s="202"/>
    </row>
    <row r="5" spans="1:9" ht="20.25" customHeight="1">
      <c r="A5" s="12"/>
      <c r="B5" s="176" t="s">
        <v>151</v>
      </c>
      <c r="C5" s="176"/>
      <c r="D5" s="176"/>
      <c r="E5" s="176"/>
      <c r="F5" s="176"/>
      <c r="G5" s="176"/>
      <c r="H5" s="176"/>
    </row>
    <row r="6" spans="1:9" ht="21.75" customHeight="1">
      <c r="B6" s="176"/>
      <c r="C6" s="176"/>
      <c r="D6" s="176"/>
      <c r="E6" s="176"/>
      <c r="F6" s="176"/>
      <c r="G6" s="176"/>
      <c r="H6" s="176"/>
    </row>
    <row r="7" spans="1:9" ht="15.75" customHeight="1">
      <c r="B7" s="124"/>
      <c r="C7" s="124"/>
      <c r="D7" s="124"/>
      <c r="E7" s="124"/>
      <c r="F7" s="124"/>
      <c r="G7" s="124"/>
      <c r="H7" s="124"/>
    </row>
    <row r="8" spans="1:9">
      <c r="B8" s="90" t="s">
        <v>0</v>
      </c>
      <c r="C8" s="98"/>
      <c r="D8" s="194" t="s">
        <v>65</v>
      </c>
      <c r="E8" s="194"/>
    </row>
    <row r="9" spans="1:9">
      <c r="B9" s="90" t="s">
        <v>1</v>
      </c>
      <c r="C9" s="98"/>
      <c r="D9" s="127">
        <v>1993</v>
      </c>
      <c r="E9" s="127"/>
    </row>
    <row r="10" spans="1:9" hidden="1" outlineLevel="1">
      <c r="B10" s="90" t="s">
        <v>2</v>
      </c>
      <c r="C10" s="98"/>
      <c r="D10" s="127">
        <v>4</v>
      </c>
      <c r="E10" s="127"/>
    </row>
    <row r="11" spans="1:9" hidden="1" outlineLevel="1">
      <c r="B11" s="90" t="s">
        <v>3</v>
      </c>
      <c r="C11" s="98"/>
      <c r="D11" s="127">
        <v>31</v>
      </c>
      <c r="E11" s="127"/>
    </row>
    <row r="12" spans="1:9" ht="30.75" hidden="1" customHeight="1" outlineLevel="1">
      <c r="B12" s="92" t="s">
        <v>4</v>
      </c>
      <c r="C12" s="99"/>
      <c r="D12" s="127" t="s">
        <v>66</v>
      </c>
      <c r="E12" s="127"/>
    </row>
    <row r="13" spans="1:9" collapsed="1">
      <c r="B13" s="90" t="s">
        <v>5</v>
      </c>
      <c r="C13" s="98"/>
      <c r="D13" s="127" t="s">
        <v>130</v>
      </c>
      <c r="E13" s="127"/>
      <c r="I13" s="10"/>
    </row>
    <row r="14" spans="1:9" hidden="1" outlineLevel="1">
      <c r="B14" s="3" t="s">
        <v>6</v>
      </c>
      <c r="D14" s="125" t="s">
        <v>7</v>
      </c>
      <c r="E14" s="125"/>
    </row>
    <row r="15" spans="1:9" ht="30.75" hidden="1" customHeight="1" outlineLevel="1">
      <c r="B15" s="13" t="s">
        <v>8</v>
      </c>
      <c r="C15" s="58"/>
      <c r="D15" s="109" t="s">
        <v>67</v>
      </c>
      <c r="E15" s="125"/>
      <c r="I15" s="10"/>
    </row>
    <row r="16" spans="1:9" ht="16.5" collapsed="1" thickBot="1">
      <c r="B16" s="155" t="s">
        <v>149</v>
      </c>
      <c r="C16" s="155"/>
      <c r="D16" s="155"/>
      <c r="E16" s="155"/>
      <c r="F16" s="155"/>
      <c r="G16" s="155"/>
      <c r="H16" s="155"/>
      <c r="I16" s="10"/>
    </row>
    <row r="17" spans="2:14" ht="44.25" customHeight="1" thickBot="1">
      <c r="B17" s="94" t="s">
        <v>147</v>
      </c>
      <c r="C17" s="147" t="s">
        <v>104</v>
      </c>
      <c r="D17" s="148"/>
      <c r="E17" s="156" t="s">
        <v>10</v>
      </c>
      <c r="F17" s="157"/>
      <c r="G17" s="156" t="s">
        <v>11</v>
      </c>
      <c r="H17" s="158"/>
      <c r="I17" s="10"/>
    </row>
    <row r="18" spans="2:14">
      <c r="B18" s="95" t="s">
        <v>12</v>
      </c>
      <c r="C18" s="149">
        <v>2636041.5300000003</v>
      </c>
      <c r="D18" s="191"/>
      <c r="E18" s="153">
        <v>1864585.8900000001</v>
      </c>
      <c r="F18" s="154"/>
      <c r="G18" s="153">
        <v>771455.64000000013</v>
      </c>
      <c r="H18" s="159"/>
      <c r="I18" s="10"/>
    </row>
    <row r="19" spans="2:14">
      <c r="B19" s="47" t="s">
        <v>13</v>
      </c>
      <c r="C19" s="151">
        <v>2592599.9500000002</v>
      </c>
      <c r="D19" s="189"/>
      <c r="E19" s="151">
        <v>1833195.5</v>
      </c>
      <c r="F19" s="152"/>
      <c r="G19" s="151">
        <v>759404.45000000019</v>
      </c>
      <c r="H19" s="160"/>
      <c r="I19" s="10"/>
    </row>
    <row r="20" spans="2:14" ht="16.5" thickBot="1">
      <c r="B20" s="49" t="s">
        <v>78</v>
      </c>
      <c r="C20" s="161">
        <v>2505751.3415000001</v>
      </c>
      <c r="D20" s="190"/>
      <c r="E20" s="164">
        <v>1874787.3415000001</v>
      </c>
      <c r="F20" s="165"/>
      <c r="G20" s="164">
        <v>600055</v>
      </c>
      <c r="H20" s="166"/>
      <c r="I20" s="10"/>
    </row>
    <row r="21" spans="2:14" ht="25.5" thickBot="1">
      <c r="B21" s="11" t="s">
        <v>135</v>
      </c>
      <c r="C21" s="170">
        <f>C19-C20</f>
        <v>86848.608500000089</v>
      </c>
      <c r="D21" s="171"/>
      <c r="E21" s="168">
        <f>E19-E20</f>
        <v>-41591.841500000097</v>
      </c>
      <c r="F21" s="169"/>
      <c r="G21" s="168">
        <f>G19-G20</f>
        <v>159349.45000000019</v>
      </c>
      <c r="H21" s="172"/>
      <c r="I21" s="10"/>
    </row>
    <row r="22" spans="2:14">
      <c r="B22" s="13"/>
      <c r="C22" s="58"/>
      <c r="D22" s="109"/>
      <c r="E22" s="125"/>
      <c r="I22" s="10"/>
    </row>
    <row r="23" spans="2:14" ht="36" customHeight="1" thickBot="1">
      <c r="B23" s="197" t="s">
        <v>152</v>
      </c>
      <c r="C23" s="197"/>
      <c r="D23" s="197"/>
      <c r="E23" s="197"/>
      <c r="F23" s="197"/>
      <c r="G23" s="197"/>
      <c r="H23" s="197"/>
      <c r="L23" s="10"/>
      <c r="M23" s="145" t="s">
        <v>137</v>
      </c>
      <c r="N23" s="145" t="s">
        <v>138</v>
      </c>
    </row>
    <row r="24" spans="2:14" ht="34.5" customHeight="1">
      <c r="B24" s="198" t="s">
        <v>92</v>
      </c>
      <c r="C24" s="200" t="s">
        <v>93</v>
      </c>
      <c r="D24" s="200" t="s">
        <v>145</v>
      </c>
      <c r="E24" s="182" t="s">
        <v>153</v>
      </c>
      <c r="F24" s="203" t="s">
        <v>95</v>
      </c>
      <c r="G24" s="204"/>
      <c r="H24" s="186" t="s">
        <v>113</v>
      </c>
      <c r="L24" s="10"/>
      <c r="M24" s="146"/>
      <c r="N24" s="146"/>
    </row>
    <row r="25" spans="2:14" ht="39.75" customHeight="1" thickBot="1">
      <c r="B25" s="199"/>
      <c r="C25" s="201"/>
      <c r="D25" s="201"/>
      <c r="E25" s="183"/>
      <c r="F25" s="17" t="s">
        <v>83</v>
      </c>
      <c r="G25" s="18" t="s">
        <v>84</v>
      </c>
      <c r="H25" s="187"/>
      <c r="M25" s="111">
        <v>203198.07</v>
      </c>
      <c r="N25" s="111">
        <f>M25*1.05</f>
        <v>213357.97350000002</v>
      </c>
    </row>
    <row r="26" spans="2:14" ht="38.25">
      <c r="B26" s="19" t="s">
        <v>96</v>
      </c>
      <c r="C26" s="30" t="s">
        <v>97</v>
      </c>
      <c r="D26" s="20" t="s">
        <v>98</v>
      </c>
      <c r="E26" s="21">
        <v>1.06</v>
      </c>
      <c r="F26" s="22">
        <f>$M$25/$M$26*E26</f>
        <v>20911.646038834951</v>
      </c>
      <c r="G26" s="23">
        <f>$N$25/$N$26*E26</f>
        <v>21957.228340776703</v>
      </c>
      <c r="H26" s="24">
        <f>F26-G26</f>
        <v>-1045.5823019417512</v>
      </c>
      <c r="I26" s="72"/>
      <c r="J26" s="129"/>
      <c r="K26" s="129"/>
      <c r="L26" s="26"/>
      <c r="M26" s="112">
        <f>E35-E33</f>
        <v>10.3</v>
      </c>
      <c r="N26" s="112">
        <f>E35-E33</f>
        <v>10.3</v>
      </c>
    </row>
    <row r="27" spans="2:14" ht="51.75">
      <c r="B27" s="73" t="s">
        <v>90</v>
      </c>
      <c r="C27" s="30" t="s">
        <v>97</v>
      </c>
      <c r="D27" s="20" t="s">
        <v>98</v>
      </c>
      <c r="E27" s="6">
        <v>1.19</v>
      </c>
      <c r="F27" s="22">
        <f t="shared" ref="F27:F34" si="0">$M$25/$M$26*E27</f>
        <v>23476.281873786404</v>
      </c>
      <c r="G27" s="23">
        <f t="shared" ref="G27:G31" si="1">$N$25/$N$26*E27</f>
        <v>24650.095967475729</v>
      </c>
      <c r="H27" s="24">
        <f t="shared" ref="H27:H32" si="2">F27-G27</f>
        <v>-1173.8140936893251</v>
      </c>
      <c r="I27" s="74"/>
      <c r="J27" s="2"/>
      <c r="K27" s="2"/>
      <c r="L27" s="2"/>
      <c r="M27" s="113"/>
      <c r="N27" s="113"/>
    </row>
    <row r="28" spans="2:14" ht="24">
      <c r="B28" s="28" t="s">
        <v>85</v>
      </c>
      <c r="C28" s="30" t="s">
        <v>97</v>
      </c>
      <c r="D28" s="20" t="s">
        <v>98</v>
      </c>
      <c r="E28" s="6">
        <v>0.32</v>
      </c>
      <c r="F28" s="22">
        <f t="shared" si="0"/>
        <v>6312.9497475728149</v>
      </c>
      <c r="G28" s="23">
        <f t="shared" si="1"/>
        <v>6628.5972349514568</v>
      </c>
      <c r="H28" s="24">
        <f t="shared" si="2"/>
        <v>-315.64748737864193</v>
      </c>
      <c r="I28" s="50"/>
      <c r="L28" s="10"/>
    </row>
    <row r="29" spans="2:14" ht="26.25">
      <c r="B29" s="75" t="s">
        <v>99</v>
      </c>
      <c r="C29" s="29" t="s">
        <v>100</v>
      </c>
      <c r="D29" s="20" t="s">
        <v>98</v>
      </c>
      <c r="E29" s="6">
        <v>0.12</v>
      </c>
      <c r="F29" s="22">
        <f t="shared" si="0"/>
        <v>2367.3561553398054</v>
      </c>
      <c r="G29" s="23">
        <f t="shared" si="1"/>
        <v>2485.7239631067964</v>
      </c>
      <c r="H29" s="24">
        <f t="shared" si="2"/>
        <v>-118.36780776699106</v>
      </c>
      <c r="I29" s="50"/>
      <c r="L29" s="10"/>
    </row>
    <row r="30" spans="2:14" ht="51.75">
      <c r="B30" s="73" t="s">
        <v>86</v>
      </c>
      <c r="C30" s="5" t="s">
        <v>112</v>
      </c>
      <c r="D30" s="20" t="s">
        <v>98</v>
      </c>
      <c r="E30" s="6">
        <v>1.18</v>
      </c>
      <c r="F30" s="22">
        <f t="shared" si="0"/>
        <v>23279.002194174755</v>
      </c>
      <c r="G30" s="23">
        <f t="shared" si="1"/>
        <v>24442.952303883496</v>
      </c>
      <c r="H30" s="24">
        <f t="shared" si="2"/>
        <v>-1163.9501097087414</v>
      </c>
      <c r="I30" s="50"/>
    </row>
    <row r="31" spans="2:14" ht="213.75" customHeight="1">
      <c r="B31" s="27" t="s">
        <v>109</v>
      </c>
      <c r="C31" s="30" t="s">
        <v>101</v>
      </c>
      <c r="D31" s="20" t="s">
        <v>98</v>
      </c>
      <c r="E31" s="6">
        <v>5.61</v>
      </c>
      <c r="F31" s="22">
        <f t="shared" si="0"/>
        <v>110673.90026213591</v>
      </c>
      <c r="G31" s="23">
        <f t="shared" si="1"/>
        <v>116207.59527524274</v>
      </c>
      <c r="H31" s="24">
        <f t="shared" si="2"/>
        <v>-5533.6950131068297</v>
      </c>
      <c r="I31" s="74"/>
      <c r="J31" s="2"/>
      <c r="K31" s="2"/>
      <c r="L31" s="1"/>
      <c r="M31" s="113"/>
      <c r="N31" s="113"/>
    </row>
    <row r="32" spans="2:14" ht="107.25" customHeight="1">
      <c r="B32" s="73" t="s">
        <v>102</v>
      </c>
      <c r="C32" s="30" t="s">
        <v>97</v>
      </c>
      <c r="D32" s="20" t="s">
        <v>98</v>
      </c>
      <c r="E32" s="6">
        <v>0.24</v>
      </c>
      <c r="F32" s="22">
        <f t="shared" si="0"/>
        <v>4734.7123106796107</v>
      </c>
      <c r="G32" s="23">
        <f t="shared" ref="G32" si="3">$N$25/$N$26*E32</f>
        <v>4971.4479262135928</v>
      </c>
      <c r="H32" s="24">
        <f t="shared" si="2"/>
        <v>-236.73561553398213</v>
      </c>
      <c r="I32" s="50"/>
    </row>
    <row r="33" spans="2:14" ht="24">
      <c r="B33" s="28" t="s">
        <v>103</v>
      </c>
      <c r="C33" s="30" t="s">
        <v>97</v>
      </c>
      <c r="D33" s="20" t="s">
        <v>98</v>
      </c>
      <c r="E33" s="6">
        <v>4.6399999999999997</v>
      </c>
      <c r="F33" s="22">
        <v>91537.77</v>
      </c>
      <c r="G33" s="4">
        <v>35040</v>
      </c>
      <c r="H33" s="24">
        <f>F33-G33</f>
        <v>56497.770000000004</v>
      </c>
      <c r="I33" s="50"/>
      <c r="L33" s="10"/>
    </row>
    <row r="34" spans="2:14" ht="16.5" thickBot="1">
      <c r="B34" s="76" t="s">
        <v>88</v>
      </c>
      <c r="C34" s="32" t="s">
        <v>101</v>
      </c>
      <c r="D34" s="33" t="s">
        <v>98</v>
      </c>
      <c r="E34" s="34">
        <v>0.57999999999999996</v>
      </c>
      <c r="F34" s="22">
        <f t="shared" si="0"/>
        <v>11442.221417475726</v>
      </c>
      <c r="G34" s="23">
        <f t="shared" ref="G34" si="4">$N$25/$N$26*E34</f>
        <v>12014.332488349515</v>
      </c>
      <c r="H34" s="35">
        <f>F34-G34</f>
        <v>-572.11107087378878</v>
      </c>
      <c r="I34" s="50"/>
    </row>
    <row r="35" spans="2:14" ht="16.5" thickBot="1">
      <c r="B35" s="78" t="s">
        <v>89</v>
      </c>
      <c r="C35" s="37"/>
      <c r="D35" s="37"/>
      <c r="E35" s="38">
        <f>SUM(E26:E34)</f>
        <v>14.94</v>
      </c>
      <c r="F35" s="39">
        <f>SUM(F26:F34)</f>
        <v>294735.83999999997</v>
      </c>
      <c r="G35" s="40">
        <f>SUM(G26:G34)</f>
        <v>248397.97350000002</v>
      </c>
      <c r="H35" s="41">
        <f>SUM(H26:H34)</f>
        <v>46337.866499999953</v>
      </c>
      <c r="I35" s="108"/>
    </row>
    <row r="36" spans="2:14">
      <c r="B36" s="10"/>
      <c r="C36" s="10"/>
      <c r="D36" s="10"/>
      <c r="E36" s="130"/>
      <c r="F36" s="130"/>
      <c r="G36" s="130"/>
      <c r="H36" s="131"/>
    </row>
    <row r="37" spans="2:14" ht="16.5" customHeight="1" thickBot="1">
      <c r="B37" s="155" t="s">
        <v>154</v>
      </c>
      <c r="C37" s="155"/>
      <c r="D37" s="155"/>
      <c r="E37" s="155"/>
      <c r="F37" s="155"/>
      <c r="G37" s="155"/>
      <c r="H37" s="155"/>
      <c r="I37" s="82"/>
      <c r="J37" s="82"/>
    </row>
    <row r="38" spans="2:14" ht="44.25" customHeight="1" thickBot="1">
      <c r="B38" s="94" t="s">
        <v>155</v>
      </c>
      <c r="C38" s="147" t="s">
        <v>104</v>
      </c>
      <c r="D38" s="148"/>
      <c r="E38" s="156" t="s">
        <v>10</v>
      </c>
      <c r="F38" s="157"/>
      <c r="G38" s="156" t="s">
        <v>11</v>
      </c>
      <c r="H38" s="158"/>
      <c r="I38" s="83"/>
      <c r="J38" s="87"/>
      <c r="K38" s="45"/>
      <c r="L38" s="46"/>
      <c r="M38" s="114"/>
      <c r="N38" s="114"/>
    </row>
    <row r="39" spans="2:14">
      <c r="B39" s="95" t="s">
        <v>12</v>
      </c>
      <c r="C39" s="153">
        <f>E39+G39</f>
        <v>2930777.37</v>
      </c>
      <c r="D39" s="154"/>
      <c r="E39" s="153">
        <f>F26+F27+F28+F29+F30+F31+F32+F34+E18</f>
        <v>2067783.96</v>
      </c>
      <c r="F39" s="154"/>
      <c r="G39" s="153">
        <f>F33+G18</f>
        <v>862993.41000000015</v>
      </c>
      <c r="H39" s="159"/>
      <c r="I39" s="85"/>
      <c r="J39" s="88"/>
      <c r="K39" s="7"/>
      <c r="L39" s="7"/>
      <c r="M39" s="115"/>
    </row>
    <row r="40" spans="2:14">
      <c r="B40" s="47" t="s">
        <v>13</v>
      </c>
      <c r="C40" s="151">
        <f>E40+G40</f>
        <v>2877083.1400000006</v>
      </c>
      <c r="D40" s="152"/>
      <c r="E40" s="151">
        <f>E19+196129.64</f>
        <v>2029325.1400000001</v>
      </c>
      <c r="F40" s="152"/>
      <c r="G40" s="151">
        <f>G19+88353.55</f>
        <v>847758.00000000023</v>
      </c>
      <c r="H40" s="160"/>
      <c r="I40" s="85"/>
      <c r="J40" s="88"/>
      <c r="K40" s="9"/>
      <c r="L40" s="7"/>
      <c r="M40" s="115"/>
    </row>
    <row r="41" spans="2:14" ht="16.5" thickBot="1">
      <c r="B41" s="49" t="s">
        <v>78</v>
      </c>
      <c r="C41" s="164">
        <f>E41+G41</f>
        <v>2723240.3150000004</v>
      </c>
      <c r="D41" s="165"/>
      <c r="E41" s="164">
        <f>G26+G27+G28+G29+G30+G31+G32+G34+E20</f>
        <v>2088145.3150000002</v>
      </c>
      <c r="F41" s="165"/>
      <c r="G41" s="164">
        <f>G33+G20</f>
        <v>635095</v>
      </c>
      <c r="H41" s="166"/>
      <c r="I41" s="85"/>
      <c r="J41" s="88"/>
      <c r="K41" s="50"/>
      <c r="L41" s="50"/>
    </row>
    <row r="42" spans="2:14" ht="32.25" customHeight="1" thickBot="1">
      <c r="B42" s="11" t="s">
        <v>136</v>
      </c>
      <c r="C42" s="170">
        <f>E42+G42</f>
        <v>153842.82500000019</v>
      </c>
      <c r="D42" s="171"/>
      <c r="E42" s="168">
        <f>E40-E41</f>
        <v>-58820.175000000047</v>
      </c>
      <c r="F42" s="169"/>
      <c r="G42" s="168">
        <f>G40-G41</f>
        <v>212663.00000000023</v>
      </c>
      <c r="H42" s="172"/>
      <c r="I42" s="85"/>
      <c r="J42" s="88"/>
      <c r="K42" s="50"/>
      <c r="L42" s="50"/>
    </row>
    <row r="43" spans="2:14" ht="18" customHeight="1">
      <c r="B43" s="79"/>
      <c r="C43" s="96"/>
      <c r="D43" s="96"/>
      <c r="E43" s="97"/>
      <c r="F43" s="97"/>
      <c r="G43" s="97"/>
      <c r="H43" s="97"/>
      <c r="I43" s="86"/>
      <c r="J43" s="2"/>
      <c r="K43" s="2"/>
      <c r="L43" s="2"/>
      <c r="M43" s="113"/>
      <c r="N43" s="113"/>
    </row>
    <row r="44" spans="2:14" ht="13.5" customHeight="1">
      <c r="B44" s="86" t="s">
        <v>79</v>
      </c>
      <c r="C44" s="196" t="s">
        <v>139</v>
      </c>
      <c r="D44" s="196"/>
      <c r="E44" s="196"/>
      <c r="F44" s="167" t="s">
        <v>146</v>
      </c>
      <c r="G44" s="167"/>
      <c r="H44" s="86"/>
      <c r="I44" s="86"/>
      <c r="J44" s="2"/>
      <c r="K44" s="2"/>
      <c r="L44" s="2"/>
      <c r="M44" s="113"/>
      <c r="N44" s="113"/>
    </row>
    <row r="45" spans="2:14" ht="9.75" customHeight="1">
      <c r="B45" s="86"/>
      <c r="C45" s="80"/>
      <c r="D45" s="80"/>
      <c r="E45" s="126"/>
      <c r="F45" s="174"/>
      <c r="G45" s="174"/>
      <c r="H45" s="86"/>
      <c r="I45" s="86"/>
      <c r="J45" s="2"/>
      <c r="K45" s="2"/>
      <c r="L45" s="2"/>
      <c r="M45" s="113"/>
      <c r="N45" s="113"/>
    </row>
    <row r="46" spans="2:14" ht="16.5" customHeight="1">
      <c r="B46" s="86" t="s">
        <v>80</v>
      </c>
      <c r="C46" s="196" t="s">
        <v>139</v>
      </c>
      <c r="D46" s="196"/>
      <c r="E46" s="196"/>
      <c r="F46" s="167" t="s">
        <v>91</v>
      </c>
      <c r="G46" s="167"/>
      <c r="H46" s="86"/>
      <c r="I46" s="86"/>
    </row>
    <row r="47" spans="2:14" ht="9.75" customHeight="1">
      <c r="B47" s="86"/>
      <c r="C47" s="80"/>
      <c r="D47" s="80"/>
      <c r="E47" s="126"/>
      <c r="F47" s="167"/>
      <c r="G47" s="167"/>
      <c r="H47" s="86"/>
      <c r="I47" s="86"/>
    </row>
    <row r="48" spans="2:14" ht="14.25" customHeight="1">
      <c r="B48" s="86" t="s">
        <v>81</v>
      </c>
      <c r="C48" s="196" t="s">
        <v>140</v>
      </c>
      <c r="D48" s="196"/>
      <c r="E48" s="196"/>
      <c r="F48" s="167" t="s">
        <v>148</v>
      </c>
      <c r="G48" s="167"/>
      <c r="H48" s="86"/>
      <c r="I48" s="8"/>
    </row>
    <row r="49" spans="2:9" ht="11.25" customHeight="1">
      <c r="B49" s="53"/>
      <c r="C49" s="51"/>
      <c r="D49" s="51"/>
      <c r="E49" s="126"/>
      <c r="F49" s="52"/>
      <c r="G49" s="53"/>
      <c r="H49" s="54"/>
      <c r="I49" s="86"/>
    </row>
    <row r="50" spans="2:9" ht="13.5" customHeight="1">
      <c r="B50" s="86" t="s">
        <v>82</v>
      </c>
      <c r="C50" s="196" t="s">
        <v>140</v>
      </c>
      <c r="D50" s="196"/>
      <c r="E50" s="196"/>
      <c r="F50" s="167" t="s">
        <v>148</v>
      </c>
      <c r="G50" s="167"/>
      <c r="H50" s="86"/>
      <c r="I50" s="131"/>
    </row>
    <row r="51" spans="2:9">
      <c r="D51" s="205"/>
      <c r="E51" s="206"/>
    </row>
  </sheetData>
  <mergeCells count="58">
    <mergeCell ref="D51:E51"/>
    <mergeCell ref="G38:H38"/>
    <mergeCell ref="E39:F39"/>
    <mergeCell ref="F50:G50"/>
    <mergeCell ref="G42:H42"/>
    <mergeCell ref="F46:G46"/>
    <mergeCell ref="F45:G45"/>
    <mergeCell ref="C38:D38"/>
    <mergeCell ref="C39:D39"/>
    <mergeCell ref="C50:E50"/>
    <mergeCell ref="B1:H1"/>
    <mergeCell ref="F47:G47"/>
    <mergeCell ref="B23:H23"/>
    <mergeCell ref="B24:B25"/>
    <mergeCell ref="C24:C25"/>
    <mergeCell ref="D24:D25"/>
    <mergeCell ref="E24:E25"/>
    <mergeCell ref="B37:H37"/>
    <mergeCell ref="E42:F42"/>
    <mergeCell ref="F24:G24"/>
    <mergeCell ref="G41:H41"/>
    <mergeCell ref="E38:F38"/>
    <mergeCell ref="C21:D21"/>
    <mergeCell ref="G39:H39"/>
    <mergeCell ref="B2:H2"/>
    <mergeCell ref="B3:H3"/>
    <mergeCell ref="B4:H4"/>
    <mergeCell ref="H24:H25"/>
    <mergeCell ref="D8:E8"/>
    <mergeCell ref="B5:H6"/>
    <mergeCell ref="E21:F21"/>
    <mergeCell ref="G21:H21"/>
    <mergeCell ref="C19:D19"/>
    <mergeCell ref="E19:F19"/>
    <mergeCell ref="G19:H19"/>
    <mergeCell ref="C20:D20"/>
    <mergeCell ref="E20:F20"/>
    <mergeCell ref="G20:H20"/>
    <mergeCell ref="B16:H16"/>
    <mergeCell ref="C17:D17"/>
    <mergeCell ref="E17:F17"/>
    <mergeCell ref="G17:H17"/>
    <mergeCell ref="C18:D18"/>
    <mergeCell ref="E18:F18"/>
    <mergeCell ref="G18:H18"/>
    <mergeCell ref="C48:E48"/>
    <mergeCell ref="F48:G48"/>
    <mergeCell ref="C40:D40"/>
    <mergeCell ref="C41:D41"/>
    <mergeCell ref="C42:D42"/>
    <mergeCell ref="C46:E46"/>
    <mergeCell ref="M23:M24"/>
    <mergeCell ref="N23:N24"/>
    <mergeCell ref="F44:G44"/>
    <mergeCell ref="E40:F40"/>
    <mergeCell ref="G40:H40"/>
    <mergeCell ref="E41:F41"/>
    <mergeCell ref="C44:E44"/>
  </mergeCells>
  <printOptions horizontalCentered="1"/>
  <pageMargins left="0.15748031496062992" right="0.15748031496062992" top="0.15748031496062992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P49"/>
  <sheetViews>
    <sheetView zoomScale="110" zoomScaleNormal="110" workbookViewId="0">
      <selection activeCell="C44" sqref="B44:C44"/>
    </sheetView>
  </sheetViews>
  <sheetFormatPr defaultColWidth="9.140625" defaultRowHeight="15.75" outlineLevelRow="1"/>
  <cols>
    <col min="1" max="1" width="2.85546875" style="3" customWidth="1"/>
    <col min="2" max="2" width="55.7109375" style="3" customWidth="1"/>
    <col min="3" max="3" width="24.28515625" style="56" customWidth="1"/>
    <col min="4" max="4" width="8.85546875" style="142" customWidth="1"/>
    <col min="5" max="5" width="10.140625" style="142" customWidth="1"/>
    <col min="6" max="6" width="10" style="3" customWidth="1"/>
    <col min="7" max="7" width="10.28515625" style="3" customWidth="1"/>
    <col min="8" max="8" width="11" style="3" customWidth="1"/>
    <col min="9" max="12" width="9.140625" style="3"/>
    <col min="13" max="13" width="13.42578125" style="110" customWidth="1"/>
    <col min="14" max="14" width="13.7109375" style="110" customWidth="1"/>
    <col min="15" max="16384" width="9.140625" style="3"/>
  </cols>
  <sheetData>
    <row r="1" spans="2:8">
      <c r="B1" s="175" t="s">
        <v>106</v>
      </c>
      <c r="C1" s="175"/>
      <c r="D1" s="175"/>
      <c r="E1" s="175"/>
      <c r="F1" s="175"/>
      <c r="G1" s="175"/>
      <c r="H1" s="175"/>
    </row>
    <row r="2" spans="2:8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8" ht="20.25" customHeight="1">
      <c r="B3" s="176"/>
      <c r="C3" s="176"/>
      <c r="D3" s="176"/>
      <c r="E3" s="176"/>
      <c r="F3" s="176"/>
      <c r="G3" s="176"/>
      <c r="H3" s="176"/>
    </row>
    <row r="4" spans="2:8" ht="12.75" customHeight="1"/>
    <row r="5" spans="2:8">
      <c r="B5" s="3" t="s">
        <v>0</v>
      </c>
      <c r="D5" s="188" t="s">
        <v>16</v>
      </c>
      <c r="E5" s="188"/>
    </row>
    <row r="6" spans="2:8">
      <c r="B6" s="3" t="s">
        <v>1</v>
      </c>
      <c r="D6" s="135">
        <v>1966</v>
      </c>
      <c r="E6" s="135"/>
    </row>
    <row r="7" spans="2:8" hidden="1" outlineLevel="1">
      <c r="B7" s="3" t="s">
        <v>2</v>
      </c>
      <c r="D7" s="135">
        <v>2</v>
      </c>
      <c r="E7" s="135"/>
    </row>
    <row r="8" spans="2:8" hidden="1" outlineLevel="1">
      <c r="B8" s="3" t="s">
        <v>3</v>
      </c>
      <c r="D8" s="135">
        <v>16</v>
      </c>
      <c r="E8" s="135"/>
    </row>
    <row r="9" spans="2:8" ht="30.75" hidden="1" customHeight="1" outlineLevel="1">
      <c r="B9" s="13" t="s">
        <v>4</v>
      </c>
      <c r="C9" s="57"/>
      <c r="D9" s="135" t="s">
        <v>15</v>
      </c>
      <c r="E9" s="135"/>
    </row>
    <row r="10" spans="2:8" collapsed="1">
      <c r="B10" s="3" t="s">
        <v>5</v>
      </c>
      <c r="D10" s="135" t="s">
        <v>114</v>
      </c>
      <c r="E10" s="135"/>
      <c r="H10" s="10"/>
    </row>
    <row r="11" spans="2:8" hidden="1" outlineLevel="1">
      <c r="B11" s="3" t="s">
        <v>6</v>
      </c>
      <c r="D11" s="135" t="s">
        <v>7</v>
      </c>
      <c r="E11" s="135"/>
    </row>
    <row r="12" spans="2:8" ht="30.75" hidden="1" customHeight="1" outlineLevel="1">
      <c r="B12" s="13" t="s">
        <v>8</v>
      </c>
      <c r="C12" s="57"/>
      <c r="D12" s="109" t="s">
        <v>9</v>
      </c>
      <c r="E12" s="135"/>
      <c r="H12" s="10"/>
    </row>
    <row r="13" spans="2:8" outlineLevel="1">
      <c r="B13" s="13"/>
      <c r="C13" s="57"/>
      <c r="D13" s="109"/>
      <c r="E13" s="135"/>
      <c r="H13" s="10"/>
    </row>
    <row r="14" spans="2:8" ht="16.5" outlineLevel="1" thickBot="1">
      <c r="B14" s="155" t="s">
        <v>149</v>
      </c>
      <c r="C14" s="155"/>
      <c r="D14" s="155"/>
      <c r="E14" s="155"/>
      <c r="F14" s="155"/>
      <c r="G14" s="155"/>
      <c r="H14" s="155"/>
    </row>
    <row r="15" spans="2:8" ht="45.75" customHeight="1" outlineLevel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</row>
    <row r="16" spans="2:8" outlineLevel="1">
      <c r="B16" s="95" t="s">
        <v>12</v>
      </c>
      <c r="C16" s="149">
        <v>885474.09693437093</v>
      </c>
      <c r="D16" s="191"/>
      <c r="E16" s="153">
        <v>687296.48693437094</v>
      </c>
      <c r="F16" s="154"/>
      <c r="G16" s="153">
        <v>198177.61000000002</v>
      </c>
      <c r="H16" s="159"/>
    </row>
    <row r="17" spans="2:14" outlineLevel="1">
      <c r="B17" s="47" t="s">
        <v>13</v>
      </c>
      <c r="C17" s="151">
        <v>725096.69</v>
      </c>
      <c r="D17" s="189"/>
      <c r="E17" s="151">
        <v>565805.32999999996</v>
      </c>
      <c r="F17" s="152"/>
      <c r="G17" s="151">
        <v>159291.36000000002</v>
      </c>
      <c r="H17" s="160"/>
    </row>
    <row r="18" spans="2:14" ht="16.5" outlineLevel="1" thickBot="1">
      <c r="B18" s="49" t="s">
        <v>78</v>
      </c>
      <c r="C18" s="161">
        <v>839166.34976725723</v>
      </c>
      <c r="D18" s="190"/>
      <c r="E18" s="164">
        <v>683293.34976725723</v>
      </c>
      <c r="F18" s="165"/>
      <c r="G18" s="164">
        <f>155873-1453.71</f>
        <v>154419.29</v>
      </c>
      <c r="H18" s="166"/>
    </row>
    <row r="19" spans="2:14" ht="36.75" outlineLevel="1" thickBot="1">
      <c r="B19" s="11" t="s">
        <v>135</v>
      </c>
      <c r="C19" s="170">
        <f>E19+G19</f>
        <v>-112615.94976725726</v>
      </c>
      <c r="D19" s="171"/>
      <c r="E19" s="168">
        <f>E17-E18</f>
        <v>-117488.01976725727</v>
      </c>
      <c r="F19" s="169"/>
      <c r="G19" s="168">
        <f>G17-G18</f>
        <v>4872.070000000007</v>
      </c>
      <c r="H19" s="172"/>
    </row>
    <row r="20" spans="2:14" outlineLevel="1">
      <c r="B20" s="13"/>
      <c r="C20" s="57"/>
      <c r="D20" s="109"/>
      <c r="E20" s="135"/>
      <c r="H20" s="10"/>
    </row>
    <row r="21" spans="2:14" ht="24.75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94504.85</v>
      </c>
      <c r="N23" s="111">
        <f>M23</f>
        <v>94504.85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16200.831428571431</v>
      </c>
      <c r="G24" s="23">
        <f>$N$23/$N$24*E24</f>
        <v>16200.831428571431</v>
      </c>
      <c r="H24" s="24">
        <f>F24-G24</f>
        <v>0</v>
      </c>
      <c r="I24" s="25"/>
      <c r="J24" s="25"/>
      <c r="K24" s="138"/>
      <c r="L24" s="26"/>
      <c r="M24" s="112">
        <f>E33-E31</f>
        <v>13.299999999999997</v>
      </c>
      <c r="N24" s="112">
        <f>E33-E31</f>
        <v>13.299999999999997</v>
      </c>
    </row>
    <row r="25" spans="2:14" ht="51">
      <c r="B25" s="27" t="s">
        <v>90</v>
      </c>
      <c r="C25" s="5" t="s">
        <v>111</v>
      </c>
      <c r="D25" s="20" t="s">
        <v>98</v>
      </c>
      <c r="E25" s="6">
        <v>0</v>
      </c>
      <c r="F25" s="22">
        <f>$M$23/$M$24*E25</f>
        <v>0</v>
      </c>
      <c r="G25" s="23">
        <f>$N$23/$N$24*E25</f>
        <v>0</v>
      </c>
      <c r="H25" s="24">
        <f t="shared" ref="H25:H30" si="0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ref="F26:F32" si="1">$M$23/$M$24*E26</f>
        <v>2273.8009022556398</v>
      </c>
      <c r="G26" s="23">
        <f t="shared" ref="G26:G29" si="2">$N$23/$N$24*E26</f>
        <v>2273.8009022556398</v>
      </c>
      <c r="H26" s="24">
        <f t="shared" si="0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0.7</v>
      </c>
      <c r="F27" s="22">
        <f>($M$23/12*2)/$M$24*E27</f>
        <v>828.98991228070201</v>
      </c>
      <c r="G27" s="23">
        <f>($N$23/12*2)/$N$24*E27</f>
        <v>828.98991228070201</v>
      </c>
      <c r="H27" s="24">
        <f t="shared" si="0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1.48</v>
      </c>
      <c r="F28" s="22">
        <f t="shared" si="1"/>
        <v>10516.329172932334</v>
      </c>
      <c r="G28" s="23">
        <f t="shared" si="2"/>
        <v>10516.329172932334</v>
      </c>
      <c r="H28" s="24">
        <f t="shared" si="0"/>
        <v>0</v>
      </c>
      <c r="I28" s="25"/>
      <c r="J28" s="25"/>
    </row>
    <row r="29" spans="2:14" ht="212.25" customHeight="1">
      <c r="B29" s="27" t="s">
        <v>109</v>
      </c>
      <c r="C29" s="30" t="s">
        <v>101</v>
      </c>
      <c r="D29" s="20" t="s">
        <v>98</v>
      </c>
      <c r="E29" s="6">
        <v>6.64</v>
      </c>
      <c r="F29" s="22">
        <f t="shared" si="1"/>
        <v>47181.368721804523</v>
      </c>
      <c r="G29" s="23">
        <f t="shared" si="2"/>
        <v>47181.368721804523</v>
      </c>
      <c r="H29" s="24">
        <f t="shared" si="0"/>
        <v>0</v>
      </c>
      <c r="I29" s="25"/>
      <c r="J29" s="25"/>
      <c r="K29" s="2"/>
      <c r="L29" s="1"/>
      <c r="M29" s="113"/>
      <c r="N29" s="113"/>
    </row>
    <row r="30" spans="2:14" ht="108.75" customHeight="1">
      <c r="B30" s="27" t="s">
        <v>102</v>
      </c>
      <c r="C30" s="5" t="s">
        <v>111</v>
      </c>
      <c r="D30" s="20" t="s">
        <v>98</v>
      </c>
      <c r="E30" s="6">
        <v>0.7</v>
      </c>
      <c r="F30" s="22">
        <f t="shared" si="1"/>
        <v>4973.9394736842114</v>
      </c>
      <c r="G30" s="23">
        <f t="shared" ref="G30" si="3">$N$23/$N$24*E30</f>
        <v>4973.9394736842114</v>
      </c>
      <c r="H30" s="24">
        <f t="shared" si="0"/>
        <v>0</v>
      </c>
      <c r="I30" s="25"/>
      <c r="J30" s="25"/>
    </row>
    <row r="31" spans="2:14" ht="45">
      <c r="B31" s="28" t="s">
        <v>103</v>
      </c>
      <c r="C31" s="5" t="s">
        <v>111</v>
      </c>
      <c r="D31" s="20" t="s">
        <v>98</v>
      </c>
      <c r="E31" s="6">
        <v>2.87</v>
      </c>
      <c r="F31" s="22">
        <v>22985.5</v>
      </c>
      <c r="G31" s="4">
        <v>35587</v>
      </c>
      <c r="H31" s="24">
        <f>F31-G31</f>
        <v>-12601.5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1.18</v>
      </c>
      <c r="F32" s="22">
        <f t="shared" si="1"/>
        <v>8384.6408270676711</v>
      </c>
      <c r="G32" s="23">
        <f t="shared" ref="G32" si="4">$N$23/$N$24*E32</f>
        <v>8384.6408270676711</v>
      </c>
      <c r="H32" s="35">
        <f>F32-G32</f>
        <v>0</v>
      </c>
      <c r="I32" s="25"/>
      <c r="J32" s="25"/>
    </row>
    <row r="33" spans="2:16" ht="16.5" thickBot="1">
      <c r="B33" s="36" t="s">
        <v>89</v>
      </c>
      <c r="C33" s="37"/>
      <c r="D33" s="37"/>
      <c r="E33" s="38">
        <f>SUM(E24:E32)</f>
        <v>16.169999999999998</v>
      </c>
      <c r="F33" s="39">
        <f>SUM(F24:F32)</f>
        <v>113345.40043859651</v>
      </c>
      <c r="G33" s="40">
        <f>SUM(G24:G32)</f>
        <v>125946.90043859651</v>
      </c>
      <c r="H33" s="41">
        <f>SUM(H24:H32)</f>
        <v>-12601.5</v>
      </c>
      <c r="I33" s="42"/>
      <c r="J33" s="42"/>
    </row>
    <row r="34" spans="2:16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6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6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132"/>
      <c r="L36" s="132"/>
      <c r="M36" s="116"/>
      <c r="N36" s="117"/>
      <c r="O36" s="167"/>
      <c r="P36" s="167"/>
    </row>
    <row r="37" spans="2:16">
      <c r="B37" s="95" t="s">
        <v>12</v>
      </c>
      <c r="C37" s="149">
        <f>E37+G37</f>
        <v>998819.49737296742</v>
      </c>
      <c r="D37" s="150"/>
      <c r="E37" s="153">
        <f>F24+F25+F26+F27+F28+F29+F30+F32+E16</f>
        <v>777656.38737296744</v>
      </c>
      <c r="F37" s="154"/>
      <c r="G37" s="153">
        <f>F31+G16</f>
        <v>221163.11000000002</v>
      </c>
      <c r="H37" s="159"/>
      <c r="I37" s="48"/>
      <c r="J37" s="48"/>
      <c r="K37" s="132"/>
      <c r="L37" s="132"/>
      <c r="M37" s="116"/>
      <c r="N37" s="118"/>
      <c r="O37" s="174"/>
      <c r="P37" s="174"/>
    </row>
    <row r="38" spans="2:16">
      <c r="B38" s="47" t="s">
        <v>13</v>
      </c>
      <c r="C38" s="151">
        <f>E38+G38</f>
        <v>824177.6</v>
      </c>
      <c r="D38" s="152"/>
      <c r="E38" s="151">
        <f>E17+79696.98</f>
        <v>645502.30999999994</v>
      </c>
      <c r="F38" s="152"/>
      <c r="G38" s="151">
        <f>G17+19383.93</f>
        <v>178675.29</v>
      </c>
      <c r="H38" s="160"/>
      <c r="I38" s="48"/>
      <c r="J38" s="48"/>
      <c r="K38" s="132"/>
      <c r="L38" s="132"/>
      <c r="M38" s="116"/>
      <c r="N38" s="119"/>
      <c r="O38" s="167"/>
      <c r="P38" s="167"/>
    </row>
    <row r="39" spans="2:16" ht="16.5" thickBot="1">
      <c r="B39" s="49" t="s">
        <v>78</v>
      </c>
      <c r="C39" s="161">
        <f>E39+G39</f>
        <v>963659.54020585376</v>
      </c>
      <c r="D39" s="162"/>
      <c r="E39" s="164">
        <f>G24+G25+G26+G27+G28+G29+G30+G32+E18</f>
        <v>773653.25020585372</v>
      </c>
      <c r="F39" s="165"/>
      <c r="G39" s="164">
        <f>G31+G18</f>
        <v>190006.29</v>
      </c>
      <c r="H39" s="166"/>
      <c r="I39" s="48"/>
      <c r="J39" s="48"/>
      <c r="K39" s="132"/>
      <c r="L39" s="132"/>
      <c r="M39" s="116"/>
      <c r="N39" s="118"/>
      <c r="O39" s="167"/>
      <c r="P39" s="167"/>
    </row>
    <row r="40" spans="2:16" ht="33.75" customHeight="1" thickBot="1">
      <c r="B40" s="11" t="s">
        <v>136</v>
      </c>
      <c r="C40" s="170">
        <f>E40+G40</f>
        <v>-139481.94020585378</v>
      </c>
      <c r="D40" s="171"/>
      <c r="E40" s="168">
        <f>E38-E39</f>
        <v>-128150.94020585378</v>
      </c>
      <c r="F40" s="169"/>
      <c r="G40" s="168">
        <f>G38-G39</f>
        <v>-11331</v>
      </c>
      <c r="H40" s="172"/>
      <c r="I40" s="48"/>
      <c r="J40" s="48"/>
      <c r="K40" s="132"/>
      <c r="L40" s="132"/>
      <c r="M40" s="116"/>
      <c r="N40" s="119"/>
      <c r="O40" s="167"/>
      <c r="P40" s="167"/>
    </row>
    <row r="41" spans="2:16" ht="34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51"/>
      <c r="L41" s="51"/>
      <c r="M41" s="120"/>
      <c r="N41" s="118"/>
      <c r="O41" s="52"/>
      <c r="P41" s="53"/>
    </row>
    <row r="42" spans="2:16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132"/>
      <c r="L42" s="132"/>
      <c r="M42" s="116"/>
      <c r="N42" s="119"/>
      <c r="O42" s="167"/>
      <c r="P42" s="167"/>
    </row>
    <row r="43" spans="2:16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55"/>
      <c r="L43" s="55"/>
      <c r="M43" s="121"/>
      <c r="N43" s="118"/>
      <c r="O43" s="173"/>
      <c r="P43" s="173"/>
    </row>
    <row r="44" spans="2:16" ht="9.75" customHeight="1">
      <c r="B44" s="132"/>
      <c r="C44" s="132"/>
      <c r="D44" s="132"/>
      <c r="E44" s="133"/>
      <c r="F44" s="167"/>
      <c r="G44" s="167"/>
      <c r="H44" s="132"/>
      <c r="I44" s="132"/>
      <c r="J44" s="132"/>
      <c r="L44" s="141"/>
      <c r="M44" s="114"/>
      <c r="N44" s="122"/>
    </row>
    <row r="45" spans="2:16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6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6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6" ht="9" customHeight="1">
      <c r="B48" s="55"/>
      <c r="C48" s="55"/>
      <c r="D48" s="55"/>
      <c r="E48" s="133"/>
      <c r="F48" s="173"/>
      <c r="G48" s="173"/>
    </row>
    <row r="49" spans="3:5">
      <c r="C49" s="141"/>
      <c r="E49" s="137"/>
    </row>
  </sheetData>
  <mergeCells count="62">
    <mergeCell ref="G16:H16"/>
    <mergeCell ref="E17:F17"/>
    <mergeCell ref="G17:H17"/>
    <mergeCell ref="E18:F18"/>
    <mergeCell ref="G18:H18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B14:H14"/>
    <mergeCell ref="E15:F15"/>
    <mergeCell ref="G15:H15"/>
    <mergeCell ref="E16:F16"/>
    <mergeCell ref="D5:E5"/>
    <mergeCell ref="E19:F19"/>
    <mergeCell ref="G19:H19"/>
    <mergeCell ref="F47:G47"/>
    <mergeCell ref="F48:G48"/>
    <mergeCell ref="G38:H38"/>
    <mergeCell ref="G39:H39"/>
    <mergeCell ref="G40:H40"/>
    <mergeCell ref="F41:G41"/>
    <mergeCell ref="F45:G45"/>
    <mergeCell ref="E38:F38"/>
    <mergeCell ref="E39:F39"/>
    <mergeCell ref="E40:F40"/>
    <mergeCell ref="F42:G42"/>
    <mergeCell ref="F43:G43"/>
    <mergeCell ref="F44:G44"/>
    <mergeCell ref="C45:E45"/>
    <mergeCell ref="C47:E47"/>
    <mergeCell ref="C15:D15"/>
    <mergeCell ref="C16:D16"/>
    <mergeCell ref="C17:D17"/>
    <mergeCell ref="C18:D18"/>
    <mergeCell ref="C19:D19"/>
    <mergeCell ref="M21:M22"/>
    <mergeCell ref="N21:N22"/>
    <mergeCell ref="C36:D36"/>
    <mergeCell ref="C37:D37"/>
    <mergeCell ref="C38:D38"/>
    <mergeCell ref="B35:H35"/>
    <mergeCell ref="E36:F36"/>
    <mergeCell ref="G36:H36"/>
    <mergeCell ref="E37:F37"/>
    <mergeCell ref="G37:H37"/>
    <mergeCell ref="O42:P42"/>
    <mergeCell ref="O43:P43"/>
    <mergeCell ref="C39:D39"/>
    <mergeCell ref="C40:D40"/>
    <mergeCell ref="O36:P36"/>
    <mergeCell ref="O37:P37"/>
    <mergeCell ref="O38:P38"/>
    <mergeCell ref="O39:P39"/>
    <mergeCell ref="O40:P40"/>
    <mergeCell ref="C41:E41"/>
    <mergeCell ref="C43:E43"/>
  </mergeCells>
  <printOptions horizontalCentered="1"/>
  <pageMargins left="0.19685039370078741" right="0.19685039370078741" top="0.15748031496062992" bottom="0.23622047244094491" header="0.16" footer="0.25"/>
  <pageSetup paperSize="9" scale="46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48"/>
  <sheetViews>
    <sheetView topLeftCell="A10" zoomScale="110" zoomScaleNormal="110" workbookViewId="0">
      <selection activeCell="G38" sqref="G38:H38"/>
    </sheetView>
  </sheetViews>
  <sheetFormatPr defaultColWidth="9.140625" defaultRowHeight="15.75" outlineLevelRow="1"/>
  <cols>
    <col min="1" max="1" width="2.85546875" style="3" customWidth="1"/>
    <col min="2" max="2" width="57" style="3" customWidth="1"/>
    <col min="3" max="3" width="23.140625" style="141" customWidth="1"/>
    <col min="4" max="4" width="9.140625" style="142" customWidth="1"/>
    <col min="5" max="5" width="11.140625" style="142" customWidth="1"/>
    <col min="6" max="7" width="10.28515625" style="3" customWidth="1"/>
    <col min="8" max="8" width="11" style="3" customWidth="1"/>
    <col min="9" max="9" width="12.28515625" style="3" customWidth="1"/>
    <col min="10" max="12" width="9.140625" style="3"/>
    <col min="13" max="13" width="14.7109375" style="110" customWidth="1"/>
    <col min="14" max="14" width="14.570312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5" customHeight="1"/>
    <row r="5" spans="2:9">
      <c r="B5" s="3" t="s">
        <v>0</v>
      </c>
      <c r="D5" s="188" t="s">
        <v>68</v>
      </c>
      <c r="E5" s="188"/>
    </row>
    <row r="6" spans="2:9">
      <c r="B6" s="3" t="s">
        <v>1</v>
      </c>
      <c r="D6" s="135">
        <v>1962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16</v>
      </c>
      <c r="E8" s="135"/>
    </row>
    <row r="9" spans="2:9" ht="30.75" hidden="1" customHeight="1" outlineLevel="1">
      <c r="B9" s="13" t="s">
        <v>4</v>
      </c>
      <c r="C9" s="14"/>
      <c r="D9" s="135" t="s">
        <v>69</v>
      </c>
      <c r="E9" s="135"/>
    </row>
    <row r="10" spans="2:9" collapsed="1">
      <c r="B10" s="3" t="s">
        <v>5</v>
      </c>
      <c r="D10" s="135" t="s">
        <v>131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14"/>
      <c r="D12" s="109" t="s">
        <v>70</v>
      </c>
      <c r="E12" s="135"/>
      <c r="I12" s="10"/>
    </row>
    <row r="13" spans="2:9" ht="11.25" customHeight="1" collapsed="1">
      <c r="B13" s="13"/>
      <c r="C13" s="14"/>
      <c r="D13" s="109"/>
      <c r="E13" s="135"/>
      <c r="I13" s="10"/>
    </row>
    <row r="14" spans="2:9" ht="15.75" customHeight="1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0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977429.22099709034</v>
      </c>
      <c r="D16" s="191"/>
      <c r="E16" s="153">
        <v>774298.58099709032</v>
      </c>
      <c r="F16" s="154"/>
      <c r="G16" s="153">
        <v>203130.63999999998</v>
      </c>
      <c r="H16" s="159"/>
      <c r="I16" s="10"/>
    </row>
    <row r="17" spans="2:14">
      <c r="B17" s="47" t="s">
        <v>13</v>
      </c>
      <c r="C17" s="151">
        <v>929804.64</v>
      </c>
      <c r="D17" s="189"/>
      <c r="E17" s="151">
        <v>739229.91</v>
      </c>
      <c r="F17" s="152"/>
      <c r="G17" s="151">
        <v>190574.73</v>
      </c>
      <c r="H17" s="160"/>
      <c r="I17" s="10"/>
    </row>
    <row r="18" spans="2:14" ht="16.5" thickBot="1">
      <c r="B18" s="49" t="s">
        <v>78</v>
      </c>
      <c r="C18" s="161">
        <v>1048965.662558239</v>
      </c>
      <c r="D18" s="190"/>
      <c r="E18" s="164">
        <v>774295.66255823884</v>
      </c>
      <c r="F18" s="165"/>
      <c r="G18" s="164">
        <v>274670</v>
      </c>
      <c r="H18" s="166"/>
      <c r="I18" s="10"/>
    </row>
    <row r="19" spans="2:14" ht="36.75" thickBot="1">
      <c r="B19" s="11" t="s">
        <v>135</v>
      </c>
      <c r="C19" s="170">
        <f>E19+G19</f>
        <v>-119161.02255823879</v>
      </c>
      <c r="D19" s="171"/>
      <c r="E19" s="168">
        <f>E17-E18</f>
        <v>-35065.752558238804</v>
      </c>
      <c r="F19" s="169"/>
      <c r="G19" s="168">
        <f>G17-G18</f>
        <v>-84095.26999999999</v>
      </c>
      <c r="H19" s="172"/>
      <c r="I19" s="10"/>
    </row>
    <row r="20" spans="2:14">
      <c r="B20" s="13"/>
      <c r="C20" s="14"/>
      <c r="D20" s="109"/>
      <c r="E20" s="135"/>
      <c r="I20" s="10"/>
    </row>
    <row r="21" spans="2:14" ht="18.75" customHeight="1" thickBot="1">
      <c r="B21" s="177" t="s">
        <v>152</v>
      </c>
      <c r="C21" s="177"/>
      <c r="D21" s="177"/>
      <c r="E21" s="177"/>
      <c r="F21" s="177"/>
      <c r="G21" s="177"/>
      <c r="H21" s="177"/>
      <c r="L21" s="10"/>
      <c r="M21" s="145" t="s">
        <v>137</v>
      </c>
      <c r="N21" s="145" t="s">
        <v>138</v>
      </c>
    </row>
    <row r="22" spans="2:14" ht="34.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L22" s="10"/>
      <c r="M22" s="146"/>
      <c r="N22" s="146"/>
    </row>
    <row r="23" spans="2:14" ht="39.7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M23" s="111">
        <v>97238.86</v>
      </c>
      <c r="N23" s="111">
        <f>M23</f>
        <v>97238.86</v>
      </c>
    </row>
    <row r="24" spans="2:14" ht="53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16446.928842729969</v>
      </c>
      <c r="G24" s="23">
        <f>$N$23/$N$24*E24</f>
        <v>16446.928842729969</v>
      </c>
      <c r="H24" s="24">
        <f>F24-G24</f>
        <v>0</v>
      </c>
      <c r="I24" s="72"/>
      <c r="J24" s="138"/>
      <c r="K24" s="138"/>
      <c r="L24" s="26"/>
      <c r="M24" s="112">
        <f>E33-E31</f>
        <v>13.48</v>
      </c>
      <c r="N24" s="112">
        <f>E33-E31</f>
        <v>13.48</v>
      </c>
    </row>
    <row r="25" spans="2:14" ht="51.75">
      <c r="B25" s="73" t="s">
        <v>90</v>
      </c>
      <c r="C25" s="5" t="s">
        <v>111</v>
      </c>
      <c r="D25" s="20" t="s">
        <v>98</v>
      </c>
      <c r="E25" s="6">
        <v>2.98</v>
      </c>
      <c r="F25" s="22">
        <f t="shared" ref="F25:F32" si="0">$M$23/$M$24*E25</f>
        <v>21496.424540059346</v>
      </c>
      <c r="G25" s="23">
        <f t="shared" ref="G25:G29" si="1">$N$23/$N$24*E25</f>
        <v>21496.424540059346</v>
      </c>
      <c r="H25" s="24">
        <f t="shared" ref="H25:H30" si="2">F25-G25</f>
        <v>0</v>
      </c>
      <c r="I25" s="74"/>
      <c r="J25" s="2"/>
      <c r="K25" s="2"/>
      <c r="L25" s="2"/>
      <c r="M25" s="113"/>
      <c r="N25" s="113"/>
    </row>
    <row r="26" spans="2:14" ht="51.7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si="0"/>
        <v>2308.3408902077149</v>
      </c>
      <c r="G26" s="23">
        <f t="shared" si="1"/>
        <v>2308.3408902077149</v>
      </c>
      <c r="H26" s="24">
        <f t="shared" si="2"/>
        <v>0</v>
      </c>
      <c r="I26" s="50"/>
      <c r="L26" s="10"/>
    </row>
    <row r="27" spans="2:14" ht="26.25">
      <c r="B27" s="75" t="s">
        <v>99</v>
      </c>
      <c r="C27" s="29" t="s">
        <v>100</v>
      </c>
      <c r="D27" s="20" t="s">
        <v>98</v>
      </c>
      <c r="E27" s="6">
        <v>0</v>
      </c>
      <c r="F27" s="22">
        <f>($M$23/12*2)/$M$24*E27</f>
        <v>0</v>
      </c>
      <c r="G27" s="23">
        <f>($N$23/12*2)/$N$24*E27</f>
        <v>0</v>
      </c>
      <c r="H27" s="24">
        <f t="shared" si="2"/>
        <v>0</v>
      </c>
      <c r="I27" s="50"/>
      <c r="L27" s="10"/>
    </row>
    <row r="28" spans="2:14" ht="51.75">
      <c r="B28" s="73" t="s">
        <v>86</v>
      </c>
      <c r="C28" s="5" t="s">
        <v>112</v>
      </c>
      <c r="D28" s="20" t="s">
        <v>98</v>
      </c>
      <c r="E28" s="6">
        <v>1.18</v>
      </c>
      <c r="F28" s="22">
        <f t="shared" si="0"/>
        <v>8512.0070326409477</v>
      </c>
      <c r="G28" s="23">
        <f t="shared" si="1"/>
        <v>8512.0070326409477</v>
      </c>
      <c r="H28" s="24">
        <f t="shared" si="2"/>
        <v>0</v>
      </c>
      <c r="I28" s="50"/>
    </row>
    <row r="29" spans="2:14" ht="213" customHeight="1">
      <c r="B29" s="27" t="s">
        <v>110</v>
      </c>
      <c r="C29" s="30" t="s">
        <v>101</v>
      </c>
      <c r="D29" s="20" t="s">
        <v>98</v>
      </c>
      <c r="E29" s="6">
        <v>5.61</v>
      </c>
      <c r="F29" s="22">
        <f t="shared" si="0"/>
        <v>40468.101231454006</v>
      </c>
      <c r="G29" s="23">
        <f t="shared" si="1"/>
        <v>40468.101231454006</v>
      </c>
      <c r="H29" s="24">
        <f t="shared" si="2"/>
        <v>0</v>
      </c>
      <c r="I29" s="74"/>
      <c r="J29" s="2"/>
      <c r="K29" s="2"/>
      <c r="L29" s="1"/>
      <c r="M29" s="113"/>
      <c r="N29" s="113"/>
    </row>
    <row r="30" spans="2:14" ht="107.25" customHeight="1">
      <c r="B30" s="73" t="s">
        <v>102</v>
      </c>
      <c r="C30" s="5" t="s">
        <v>111</v>
      </c>
      <c r="D30" s="20" t="s">
        <v>98</v>
      </c>
      <c r="E30" s="6">
        <v>0.19</v>
      </c>
      <c r="F30" s="22">
        <f t="shared" si="0"/>
        <v>1370.5774035608308</v>
      </c>
      <c r="G30" s="23">
        <f t="shared" ref="G30" si="3">$N$23/$N$24*E30</f>
        <v>1370.5774035608308</v>
      </c>
      <c r="H30" s="24">
        <f t="shared" si="2"/>
        <v>0</v>
      </c>
      <c r="I30" s="50"/>
    </row>
    <row r="31" spans="2:14" ht="45">
      <c r="B31" s="28" t="s">
        <v>103</v>
      </c>
      <c r="C31" s="5" t="s">
        <v>111</v>
      </c>
      <c r="D31" s="20" t="s">
        <v>98</v>
      </c>
      <c r="E31" s="6">
        <v>2.11</v>
      </c>
      <c r="F31" s="22">
        <v>17055.2</v>
      </c>
      <c r="G31" s="4">
        <v>705</v>
      </c>
      <c r="H31" s="24">
        <f>F31-G31</f>
        <v>16350.2</v>
      </c>
      <c r="I31" s="50"/>
      <c r="L31" s="10"/>
    </row>
    <row r="32" spans="2:14" ht="16.5" thickBot="1">
      <c r="B32" s="76" t="s">
        <v>88</v>
      </c>
      <c r="C32" s="32" t="s">
        <v>101</v>
      </c>
      <c r="D32" s="33" t="s">
        <v>98</v>
      </c>
      <c r="E32" s="34">
        <v>0.92</v>
      </c>
      <c r="F32" s="22">
        <f t="shared" si="0"/>
        <v>6636.4800593471809</v>
      </c>
      <c r="G32" s="23">
        <f t="shared" ref="G32" si="4">$N$23/$N$24*E32</f>
        <v>6636.4800593471809</v>
      </c>
      <c r="H32" s="35">
        <f>F32-G32</f>
        <v>0</v>
      </c>
      <c r="I32" s="50"/>
    </row>
    <row r="33" spans="2:14" ht="16.5" thickBot="1">
      <c r="B33" s="78" t="s">
        <v>89</v>
      </c>
      <c r="C33" s="37"/>
      <c r="D33" s="37"/>
      <c r="E33" s="38">
        <f>SUM(E24:E32)</f>
        <v>15.59</v>
      </c>
      <c r="F33" s="39">
        <f>SUM(F24:F32)</f>
        <v>114294.06</v>
      </c>
      <c r="G33" s="40">
        <f>SUM(G24:G32)</f>
        <v>97943.859999999986</v>
      </c>
      <c r="H33" s="41">
        <f>SUM(H24:H32)</f>
        <v>16350.2</v>
      </c>
      <c r="I33" s="108"/>
    </row>
    <row r="34" spans="2:14">
      <c r="B34" s="10"/>
      <c r="C34" s="10"/>
      <c r="D34" s="10"/>
      <c r="E34" s="141"/>
      <c r="F34" s="141"/>
      <c r="G34" s="141"/>
      <c r="H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82"/>
      <c r="J35" s="82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83"/>
      <c r="J36" s="87"/>
      <c r="K36" s="45"/>
      <c r="L36" s="46"/>
      <c r="M36" s="114"/>
      <c r="N36" s="114"/>
    </row>
    <row r="37" spans="2:14">
      <c r="B37" s="95" t="s">
        <v>12</v>
      </c>
      <c r="C37" s="149">
        <f>E37+G37</f>
        <v>1091723.2809970903</v>
      </c>
      <c r="D37" s="150"/>
      <c r="E37" s="153">
        <f>F24+F25+F26+F27+F28+F29+F30+F32+E16</f>
        <v>871537.44099709031</v>
      </c>
      <c r="F37" s="154"/>
      <c r="G37" s="153">
        <f>F31+G16</f>
        <v>220185.84</v>
      </c>
      <c r="H37" s="159"/>
      <c r="I37" s="85"/>
      <c r="J37" s="88"/>
      <c r="K37" s="7"/>
      <c r="L37" s="7"/>
      <c r="M37" s="115"/>
    </row>
    <row r="38" spans="2:14">
      <c r="B38" s="47" t="s">
        <v>13</v>
      </c>
      <c r="C38" s="151">
        <f>E38+G38</f>
        <v>1029777.7200000001</v>
      </c>
      <c r="D38" s="152"/>
      <c r="E38" s="151">
        <f>E17+85054.89</f>
        <v>824284.8</v>
      </c>
      <c r="F38" s="152"/>
      <c r="G38" s="151">
        <f>G17+14918.19</f>
        <v>205492.92</v>
      </c>
      <c r="H38" s="160"/>
      <c r="I38" s="85"/>
      <c r="J38" s="88"/>
      <c r="K38" s="9"/>
      <c r="L38" s="7"/>
      <c r="M38" s="115"/>
    </row>
    <row r="39" spans="2:14" ht="16.5" thickBot="1">
      <c r="B39" s="49" t="s">
        <v>78</v>
      </c>
      <c r="C39" s="161">
        <f>E39+G39</f>
        <v>1146909.5225582388</v>
      </c>
      <c r="D39" s="162"/>
      <c r="E39" s="164">
        <f>G24+G25+G26+G27+G28+G29+G30+G32+E18</f>
        <v>871534.52255823882</v>
      </c>
      <c r="F39" s="165"/>
      <c r="G39" s="164">
        <f>G31+G18</f>
        <v>275375</v>
      </c>
      <c r="H39" s="166"/>
      <c r="I39" s="85"/>
      <c r="J39" s="88"/>
      <c r="K39" s="50"/>
      <c r="L39" s="50"/>
    </row>
    <row r="40" spans="2:14" ht="29.25" customHeight="1" thickBot="1">
      <c r="B40" s="11" t="s">
        <v>136</v>
      </c>
      <c r="C40" s="170">
        <f>E40+G40</f>
        <v>-117131.80255823876</v>
      </c>
      <c r="D40" s="171"/>
      <c r="E40" s="168">
        <f>E38-E39</f>
        <v>-47249.722558238776</v>
      </c>
      <c r="F40" s="169"/>
      <c r="G40" s="168">
        <f>G38-G39</f>
        <v>-69882.079999999987</v>
      </c>
      <c r="H40" s="172"/>
      <c r="I40" s="85"/>
      <c r="J40" s="88"/>
      <c r="K40" s="50"/>
      <c r="L40" s="50"/>
    </row>
    <row r="41" spans="2:14" ht="29.2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86"/>
      <c r="I41" s="86"/>
      <c r="J41" s="2"/>
      <c r="K41" s="2"/>
      <c r="L41" s="2"/>
      <c r="M41" s="113"/>
      <c r="N41" s="113"/>
    </row>
    <row r="42" spans="2:14" ht="9.75" customHeight="1">
      <c r="B42" s="132"/>
      <c r="C42" s="132"/>
      <c r="D42" s="132"/>
      <c r="E42" s="133"/>
      <c r="F42" s="174"/>
      <c r="G42" s="174"/>
      <c r="H42" s="86"/>
      <c r="I42" s="86"/>
      <c r="J42" s="2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86"/>
      <c r="I43" s="86"/>
      <c r="J43" s="2"/>
      <c r="K43" s="2"/>
      <c r="L43" s="2"/>
      <c r="M43" s="113"/>
      <c r="N43" s="113"/>
    </row>
    <row r="44" spans="2:14" ht="6.75" customHeight="1">
      <c r="B44" s="132"/>
      <c r="C44" s="132"/>
      <c r="D44" s="132"/>
      <c r="E44" s="133"/>
      <c r="F44" s="167"/>
      <c r="G44" s="167"/>
      <c r="H44" s="86"/>
      <c r="I44" s="86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86"/>
      <c r="I45" s="86"/>
    </row>
    <row r="46" spans="2:14" ht="9.75" customHeight="1">
      <c r="B46" s="51"/>
      <c r="C46" s="51"/>
      <c r="D46" s="51"/>
      <c r="E46" s="133"/>
      <c r="F46" s="52"/>
      <c r="G46" s="53"/>
      <c r="H46" s="54"/>
      <c r="I46" s="8"/>
    </row>
    <row r="47" spans="2:14">
      <c r="B47" s="132" t="s">
        <v>82</v>
      </c>
      <c r="C47" s="163" t="s">
        <v>141</v>
      </c>
      <c r="D47" s="163"/>
      <c r="E47" s="163"/>
      <c r="F47" s="167" t="s">
        <v>148</v>
      </c>
      <c r="G47" s="167"/>
      <c r="H47" s="86"/>
      <c r="I47" s="86"/>
    </row>
    <row r="48" spans="2:14" ht="7.5" customHeight="1">
      <c r="C48" s="3"/>
      <c r="D48" s="3"/>
      <c r="E48" s="137"/>
      <c r="F48" s="195"/>
      <c r="G48" s="195"/>
      <c r="H48" s="142"/>
      <c r="I48" s="142"/>
    </row>
  </sheetData>
  <mergeCells count="55">
    <mergeCell ref="C19:D19"/>
    <mergeCell ref="E19:F19"/>
    <mergeCell ref="G19:H19"/>
    <mergeCell ref="G16:H16"/>
    <mergeCell ref="C17:D17"/>
    <mergeCell ref="E17:F17"/>
    <mergeCell ref="G17:H17"/>
    <mergeCell ref="C18:D18"/>
    <mergeCell ref="E18:F18"/>
    <mergeCell ref="G18:H18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B14:H14"/>
    <mergeCell ref="C15:D15"/>
    <mergeCell ref="E15:F15"/>
    <mergeCell ref="G15:H15"/>
    <mergeCell ref="C16:D16"/>
    <mergeCell ref="E16:F16"/>
    <mergeCell ref="F41:G41"/>
    <mergeCell ref="F42:G42"/>
    <mergeCell ref="E40:F40"/>
    <mergeCell ref="E38:F38"/>
    <mergeCell ref="G38:H38"/>
    <mergeCell ref="E39:F39"/>
    <mergeCell ref="G39:H39"/>
    <mergeCell ref="C41:E41"/>
    <mergeCell ref="G40:H40"/>
    <mergeCell ref="F48:G48"/>
    <mergeCell ref="F45:G45"/>
    <mergeCell ref="F47:G47"/>
    <mergeCell ref="F43:G43"/>
    <mergeCell ref="F44:G44"/>
    <mergeCell ref="M21:M22"/>
    <mergeCell ref="N21:N22"/>
    <mergeCell ref="C36:D36"/>
    <mergeCell ref="C37:D37"/>
    <mergeCell ref="C38:D38"/>
    <mergeCell ref="B35:H35"/>
    <mergeCell ref="E36:F36"/>
    <mergeCell ref="G36:H36"/>
    <mergeCell ref="E37:F37"/>
    <mergeCell ref="G37:H37"/>
    <mergeCell ref="C43:E43"/>
    <mergeCell ref="C45:E45"/>
    <mergeCell ref="C47:E47"/>
    <mergeCell ref="C39:D39"/>
    <mergeCell ref="C40:D40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4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8"/>
  <sheetViews>
    <sheetView topLeftCell="A31" zoomScale="110" zoomScaleNormal="110" workbookViewId="0">
      <selection activeCell="B1" sqref="B1:H47"/>
    </sheetView>
  </sheetViews>
  <sheetFormatPr defaultColWidth="9.140625" defaultRowHeight="15.75" outlineLevelRow="1"/>
  <cols>
    <col min="1" max="1" width="2.85546875" style="3" customWidth="1"/>
    <col min="2" max="2" width="55.7109375" style="3" customWidth="1"/>
    <col min="3" max="3" width="21.85546875" style="142" customWidth="1"/>
    <col min="4" max="4" width="9" style="142" customWidth="1"/>
    <col min="5" max="5" width="11.140625" style="142" customWidth="1"/>
    <col min="6" max="6" width="9.85546875" style="3" customWidth="1"/>
    <col min="7" max="7" width="10.42578125" style="3" customWidth="1"/>
    <col min="8" max="8" width="10.7109375" style="3" customWidth="1"/>
    <col min="9" max="9" width="12.28515625" style="3" customWidth="1"/>
    <col min="10" max="12" width="9.140625" style="3"/>
    <col min="13" max="13" width="12.7109375" style="110" customWidth="1"/>
    <col min="14" max="14" width="14.2851562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8.25" customHeight="1"/>
    <row r="5" spans="1:9">
      <c r="B5" s="8" t="s">
        <v>0</v>
      </c>
      <c r="C5" s="54"/>
      <c r="D5" s="207" t="s">
        <v>71</v>
      </c>
      <c r="E5" s="207"/>
      <c r="F5" s="8"/>
    </row>
    <row r="6" spans="1:9">
      <c r="B6" s="8" t="s">
        <v>1</v>
      </c>
      <c r="C6" s="54"/>
      <c r="D6" s="143">
        <v>1961</v>
      </c>
      <c r="E6" s="143"/>
      <c r="F6" s="8"/>
    </row>
    <row r="7" spans="1:9" hidden="1" outlineLevel="1">
      <c r="B7" s="8" t="s">
        <v>2</v>
      </c>
      <c r="C7" s="54"/>
      <c r="D7" s="143">
        <v>2</v>
      </c>
      <c r="E7" s="143"/>
      <c r="F7" s="8"/>
    </row>
    <row r="8" spans="1:9" hidden="1" outlineLevel="1">
      <c r="B8" s="8" t="s">
        <v>3</v>
      </c>
      <c r="C8" s="54"/>
      <c r="D8" s="143">
        <v>16</v>
      </c>
      <c r="E8" s="143"/>
      <c r="F8" s="8"/>
    </row>
    <row r="9" spans="1:9" ht="30.75" hidden="1" customHeight="1" outlineLevel="1">
      <c r="B9" s="106" t="s">
        <v>4</v>
      </c>
      <c r="C9" s="107"/>
      <c r="D9" s="143" t="s">
        <v>72</v>
      </c>
      <c r="E9" s="143"/>
      <c r="F9" s="8"/>
    </row>
    <row r="10" spans="1:9" collapsed="1">
      <c r="B10" s="8" t="s">
        <v>5</v>
      </c>
      <c r="C10" s="54"/>
      <c r="D10" s="143" t="s">
        <v>132</v>
      </c>
      <c r="E10" s="143"/>
      <c r="F10" s="8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58"/>
      <c r="D12" s="109" t="s">
        <v>73</v>
      </c>
      <c r="E12" s="135"/>
      <c r="I12" s="10"/>
    </row>
    <row r="13" spans="1:9" ht="9.75" customHeight="1" collapsed="1">
      <c r="B13" s="13"/>
      <c r="C13" s="58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0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888717.36359610013</v>
      </c>
      <c r="D16" s="191"/>
      <c r="E16" s="153">
        <v>677210.68359610019</v>
      </c>
      <c r="F16" s="154"/>
      <c r="G16" s="153">
        <v>211506.67999999996</v>
      </c>
      <c r="H16" s="159"/>
      <c r="I16" s="10"/>
    </row>
    <row r="17" spans="2:14">
      <c r="B17" s="47" t="s">
        <v>13</v>
      </c>
      <c r="C17" s="151">
        <v>896508.01</v>
      </c>
      <c r="D17" s="189"/>
      <c r="E17" s="151">
        <v>685832.02</v>
      </c>
      <c r="F17" s="152"/>
      <c r="G17" s="151">
        <v>210675.99</v>
      </c>
      <c r="H17" s="160"/>
      <c r="I17" s="10"/>
    </row>
    <row r="18" spans="2:14" ht="16.5" thickBot="1">
      <c r="B18" s="49" t="s">
        <v>78</v>
      </c>
      <c r="C18" s="161">
        <v>918309.4015992349</v>
      </c>
      <c r="D18" s="190"/>
      <c r="E18" s="164">
        <v>684196.4015992349</v>
      </c>
      <c r="F18" s="165"/>
      <c r="G18" s="164">
        <v>234113</v>
      </c>
      <c r="H18" s="166"/>
      <c r="I18" s="10"/>
    </row>
    <row r="19" spans="2:14" ht="33" customHeight="1" thickBot="1">
      <c r="B19" s="11" t="s">
        <v>135</v>
      </c>
      <c r="C19" s="170">
        <f>E19+G19</f>
        <v>-21801.391599234892</v>
      </c>
      <c r="D19" s="171"/>
      <c r="E19" s="168">
        <f>E17-E18</f>
        <v>1635.6184007651173</v>
      </c>
      <c r="F19" s="169"/>
      <c r="G19" s="168">
        <f>G17-G18</f>
        <v>-23437.010000000009</v>
      </c>
      <c r="H19" s="172"/>
      <c r="I19" s="10"/>
    </row>
    <row r="20" spans="2:14">
      <c r="B20" s="13"/>
      <c r="C20" s="58"/>
      <c r="D20" s="109"/>
      <c r="E20" s="135"/>
      <c r="I20" s="10"/>
    </row>
    <row r="21" spans="2:14" ht="16.5" customHeight="1" thickBot="1">
      <c r="B21" s="177" t="s">
        <v>152</v>
      </c>
      <c r="C21" s="177"/>
      <c r="D21" s="177"/>
      <c r="E21" s="177"/>
      <c r="F21" s="177"/>
      <c r="G21" s="177"/>
      <c r="H21" s="177"/>
      <c r="L21" s="10"/>
      <c r="M21" s="145" t="s">
        <v>137</v>
      </c>
      <c r="N21" s="145" t="s">
        <v>138</v>
      </c>
    </row>
    <row r="22" spans="2:14" ht="34.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L22" s="10"/>
      <c r="M22" s="146"/>
      <c r="N22" s="146"/>
    </row>
    <row r="23" spans="2:14" ht="39.7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M23" s="111">
        <v>92820.08</v>
      </c>
      <c r="N23" s="111">
        <f>M23</f>
        <v>92820.08</v>
      </c>
    </row>
    <row r="24" spans="2:14" ht="53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16044.714359363152</v>
      </c>
      <c r="G24" s="23">
        <f>$N$23/$N$24*E24</f>
        <v>16044.714359363152</v>
      </c>
      <c r="H24" s="24">
        <f>F24-G24</f>
        <v>0</v>
      </c>
      <c r="I24" s="72"/>
      <c r="J24" s="138"/>
      <c r="K24" s="138"/>
      <c r="L24" s="26"/>
      <c r="M24" s="112">
        <f>E33-E31</f>
        <v>13.190000000000001</v>
      </c>
      <c r="N24" s="112">
        <f>E33-E31</f>
        <v>13.190000000000001</v>
      </c>
    </row>
    <row r="25" spans="2:14" ht="56.25">
      <c r="B25" s="73" t="s">
        <v>90</v>
      </c>
      <c r="C25" s="5" t="s">
        <v>111</v>
      </c>
      <c r="D25" s="20" t="s">
        <v>98</v>
      </c>
      <c r="E25" s="6">
        <v>2.98</v>
      </c>
      <c r="F25" s="22">
        <f t="shared" ref="F25:F32" si="0">$M$23/$M$24*E25</f>
        <v>20970.72315390447</v>
      </c>
      <c r="G25" s="23">
        <f t="shared" ref="G25:G29" si="1">$N$23/$N$24*E25</f>
        <v>20970.72315390447</v>
      </c>
      <c r="H25" s="24">
        <f t="shared" ref="H25:H30" si="2">F25-G25</f>
        <v>0</v>
      </c>
      <c r="I25" s="74"/>
      <c r="J25" s="2"/>
      <c r="K25" s="2"/>
      <c r="L25" s="2"/>
      <c r="M25" s="113"/>
      <c r="N25" s="113"/>
    </row>
    <row r="26" spans="2:14" ht="51.7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si="0"/>
        <v>2251.88973464746</v>
      </c>
      <c r="G26" s="23">
        <f t="shared" si="1"/>
        <v>2251.88973464746</v>
      </c>
      <c r="H26" s="24">
        <f t="shared" si="2"/>
        <v>0</v>
      </c>
      <c r="I26" s="50"/>
      <c r="L26" s="10"/>
    </row>
    <row r="27" spans="2:14" ht="26.25">
      <c r="B27" s="75" t="s">
        <v>99</v>
      </c>
      <c r="C27" s="29" t="s">
        <v>100</v>
      </c>
      <c r="D27" s="20" t="s">
        <v>98</v>
      </c>
      <c r="E27" s="6">
        <v>0.5</v>
      </c>
      <c r="F27" s="22">
        <f>($M$23/12*2)/$M$24*E27</f>
        <v>586.42961839777604</v>
      </c>
      <c r="G27" s="23">
        <f>($N$23/12*2)/$N$24*E27</f>
        <v>586.42961839777604</v>
      </c>
      <c r="H27" s="24">
        <f t="shared" si="2"/>
        <v>0</v>
      </c>
      <c r="I27" s="50"/>
      <c r="L27" s="10"/>
    </row>
    <row r="28" spans="2:14" ht="51.75">
      <c r="B28" s="73" t="s">
        <v>86</v>
      </c>
      <c r="C28" s="5" t="s">
        <v>112</v>
      </c>
      <c r="D28" s="20" t="s">
        <v>98</v>
      </c>
      <c r="E28" s="6">
        <v>1.18</v>
      </c>
      <c r="F28" s="22">
        <f t="shared" si="0"/>
        <v>8303.8433965125078</v>
      </c>
      <c r="G28" s="23">
        <f t="shared" si="1"/>
        <v>8303.8433965125078</v>
      </c>
      <c r="H28" s="24">
        <f t="shared" si="2"/>
        <v>0</v>
      </c>
      <c r="I28" s="50"/>
    </row>
    <row r="29" spans="2:14" ht="146.25" customHeight="1">
      <c r="B29" s="73" t="s">
        <v>87</v>
      </c>
      <c r="C29" s="30" t="s">
        <v>101</v>
      </c>
      <c r="D29" s="20" t="s">
        <v>98</v>
      </c>
      <c r="E29" s="6">
        <v>5.61</v>
      </c>
      <c r="F29" s="22">
        <f t="shared" si="0"/>
        <v>39478.441910538284</v>
      </c>
      <c r="G29" s="23">
        <f t="shared" si="1"/>
        <v>39478.441910538284</v>
      </c>
      <c r="H29" s="24">
        <f t="shared" si="2"/>
        <v>0</v>
      </c>
      <c r="I29" s="74"/>
      <c r="J29" s="2"/>
      <c r="K29" s="2"/>
      <c r="L29" s="1"/>
      <c r="M29" s="113"/>
      <c r="N29" s="113"/>
    </row>
    <row r="30" spans="2:14" ht="107.25" customHeight="1">
      <c r="B30" s="73" t="s">
        <v>102</v>
      </c>
      <c r="C30" s="5" t="s">
        <v>111</v>
      </c>
      <c r="D30" s="20" t="s">
        <v>98</v>
      </c>
      <c r="E30" s="6">
        <v>0.19</v>
      </c>
      <c r="F30" s="22">
        <f t="shared" si="0"/>
        <v>1337.0595299469294</v>
      </c>
      <c r="G30" s="23">
        <f t="shared" ref="G30" si="3">$N$23/$N$24*E30</f>
        <v>1337.0595299469294</v>
      </c>
      <c r="H30" s="24">
        <f t="shared" si="2"/>
        <v>0</v>
      </c>
      <c r="I30" s="50"/>
    </row>
    <row r="31" spans="2:14" ht="56.25">
      <c r="B31" s="28" t="s">
        <v>103</v>
      </c>
      <c r="C31" s="5" t="s">
        <v>111</v>
      </c>
      <c r="D31" s="20" t="s">
        <v>98</v>
      </c>
      <c r="E31" s="6">
        <v>2.4</v>
      </c>
      <c r="F31" s="22">
        <v>18975.150000000001</v>
      </c>
      <c r="G31" s="4">
        <v>607</v>
      </c>
      <c r="H31" s="24">
        <f>F31-G31</f>
        <v>18368.150000000001</v>
      </c>
      <c r="I31" s="50"/>
      <c r="L31" s="10"/>
    </row>
    <row r="32" spans="2:14" ht="16.5" thickBot="1">
      <c r="B32" s="76" t="s">
        <v>88</v>
      </c>
      <c r="C32" s="32" t="s">
        <v>101</v>
      </c>
      <c r="D32" s="33" t="s">
        <v>98</v>
      </c>
      <c r="E32" s="34">
        <v>0.13</v>
      </c>
      <c r="F32" s="22">
        <f t="shared" si="0"/>
        <v>914.83020470053066</v>
      </c>
      <c r="G32" s="23">
        <f t="shared" ref="G32" si="4">$N$23/$N$24*E32</f>
        <v>914.83020470053066</v>
      </c>
      <c r="H32" s="35">
        <f>F32-G32</f>
        <v>0</v>
      </c>
      <c r="I32" s="50"/>
    </row>
    <row r="33" spans="2:14" ht="16.5" thickBot="1">
      <c r="B33" s="78" t="s">
        <v>89</v>
      </c>
      <c r="C33" s="37"/>
      <c r="D33" s="37"/>
      <c r="E33" s="38">
        <f>SUM(E24:E32)</f>
        <v>15.590000000000002</v>
      </c>
      <c r="F33" s="39">
        <f>SUM(F24:F32)</f>
        <v>108863.08190801111</v>
      </c>
      <c r="G33" s="40">
        <f>SUM(G24:G32)</f>
        <v>90494.931908011102</v>
      </c>
      <c r="H33" s="41">
        <f>SUM(H24:H32)</f>
        <v>18368.150000000001</v>
      </c>
      <c r="I33" s="108"/>
    </row>
    <row r="34" spans="2:14" ht="11.25" customHeight="1">
      <c r="B34" s="10"/>
      <c r="C34" s="10"/>
      <c r="D34" s="10"/>
      <c r="E34" s="141"/>
      <c r="F34" s="141"/>
      <c r="G34" s="141"/>
      <c r="H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82"/>
      <c r="J35" s="82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83"/>
      <c r="J36" s="87"/>
      <c r="K36" s="45"/>
      <c r="L36" s="46"/>
      <c r="M36" s="114"/>
      <c r="N36" s="114"/>
    </row>
    <row r="37" spans="2:14">
      <c r="B37" s="95" t="s">
        <v>12</v>
      </c>
      <c r="C37" s="149">
        <f>E37+G37</f>
        <v>997580.44550411124</v>
      </c>
      <c r="D37" s="150"/>
      <c r="E37" s="153">
        <f>F24+F25+F26+F27+F28+F29+F30+F32+E16</f>
        <v>767098.61550411128</v>
      </c>
      <c r="F37" s="154"/>
      <c r="G37" s="153">
        <f>F31+G16</f>
        <v>230481.82999999996</v>
      </c>
      <c r="H37" s="159"/>
      <c r="I37" s="85"/>
      <c r="J37" s="88"/>
      <c r="K37" s="7"/>
      <c r="L37" s="7"/>
      <c r="M37" s="115"/>
    </row>
    <row r="38" spans="2:14">
      <c r="B38" s="47" t="s">
        <v>13</v>
      </c>
      <c r="C38" s="151">
        <f>E38+G38</f>
        <v>1002594.2300000001</v>
      </c>
      <c r="D38" s="152"/>
      <c r="E38" s="151">
        <f>E17+88080.07</f>
        <v>773912.09000000008</v>
      </c>
      <c r="F38" s="152"/>
      <c r="G38" s="151">
        <f>G17+18006.15</f>
        <v>228682.13999999998</v>
      </c>
      <c r="H38" s="160"/>
      <c r="I38" s="85"/>
      <c r="J38" s="88"/>
      <c r="K38" s="9"/>
      <c r="L38" s="7"/>
      <c r="M38" s="115"/>
    </row>
    <row r="39" spans="2:14" ht="16.5" thickBot="1">
      <c r="B39" s="49" t="s">
        <v>78</v>
      </c>
      <c r="C39" s="161">
        <f>E39+G39</f>
        <v>1008804.333507246</v>
      </c>
      <c r="D39" s="162"/>
      <c r="E39" s="164">
        <f>G24+G25+G26+G27+G28+G29+G30+G32+E18</f>
        <v>774084.33350724599</v>
      </c>
      <c r="F39" s="165"/>
      <c r="G39" s="164">
        <f>G31+G18</f>
        <v>234720</v>
      </c>
      <c r="H39" s="166"/>
      <c r="I39" s="85"/>
      <c r="J39" s="88"/>
      <c r="K39" s="50"/>
      <c r="L39" s="50"/>
    </row>
    <row r="40" spans="2:14" ht="33" customHeight="1" thickBot="1">
      <c r="B40" s="11" t="s">
        <v>136</v>
      </c>
      <c r="C40" s="170">
        <f>E40+G40</f>
        <v>-6210.1035072459199</v>
      </c>
      <c r="D40" s="171"/>
      <c r="E40" s="168">
        <f>E38-E39</f>
        <v>-172.24350724590477</v>
      </c>
      <c r="F40" s="169"/>
      <c r="G40" s="168">
        <f>G38-G39</f>
        <v>-6037.8600000000151</v>
      </c>
      <c r="H40" s="172"/>
      <c r="I40" s="85"/>
      <c r="J40" s="88"/>
      <c r="K40" s="50"/>
      <c r="L40" s="50"/>
    </row>
    <row r="41" spans="2:14" ht="22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86"/>
      <c r="I41" s="86"/>
      <c r="J41" s="2"/>
      <c r="K41" s="2"/>
      <c r="L41" s="2"/>
      <c r="M41" s="113"/>
      <c r="N41" s="113"/>
    </row>
    <row r="42" spans="2:14" ht="9.75" customHeight="1">
      <c r="B42" s="132"/>
      <c r="C42" s="132"/>
      <c r="D42" s="132"/>
      <c r="E42" s="133"/>
      <c r="F42" s="174"/>
      <c r="G42" s="174"/>
      <c r="H42" s="86"/>
      <c r="I42" s="86"/>
      <c r="J42" s="2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86"/>
      <c r="I43" s="86"/>
      <c r="J43" s="2"/>
      <c r="K43" s="2"/>
      <c r="L43" s="2"/>
      <c r="M43" s="113"/>
      <c r="N43" s="113"/>
    </row>
    <row r="44" spans="2:14" ht="6.75" customHeight="1">
      <c r="B44" s="132"/>
      <c r="C44" s="132"/>
      <c r="D44" s="132"/>
      <c r="E44" s="133"/>
      <c r="F44" s="167"/>
      <c r="G44" s="167"/>
      <c r="H44" s="86"/>
      <c r="I44" s="86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86"/>
      <c r="I45" s="86"/>
    </row>
    <row r="46" spans="2:14" ht="9.75" customHeight="1">
      <c r="B46" s="51"/>
      <c r="C46" s="51"/>
      <c r="D46" s="51"/>
      <c r="E46" s="133"/>
      <c r="F46" s="52"/>
      <c r="G46" s="53"/>
      <c r="H46" s="54"/>
      <c r="I46" s="8"/>
    </row>
    <row r="47" spans="2:14" ht="14.25" customHeight="1">
      <c r="B47" s="132" t="s">
        <v>82</v>
      </c>
      <c r="C47" s="163" t="s">
        <v>141</v>
      </c>
      <c r="D47" s="163"/>
      <c r="E47" s="163"/>
      <c r="F47" s="167" t="s">
        <v>148</v>
      </c>
      <c r="G47" s="167"/>
      <c r="H47" s="86"/>
      <c r="I47" s="86"/>
    </row>
    <row r="48" spans="2:14" ht="7.5" customHeight="1">
      <c r="C48" s="3"/>
      <c r="D48" s="3"/>
      <c r="E48" s="137"/>
      <c r="F48" s="195"/>
      <c r="G48" s="195"/>
      <c r="H48" s="142"/>
      <c r="I48" s="142"/>
    </row>
  </sheetData>
  <mergeCells count="55"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E16:F16"/>
    <mergeCell ref="E40:F40"/>
    <mergeCell ref="C36:D36"/>
    <mergeCell ref="C37:D37"/>
    <mergeCell ref="C38:D38"/>
    <mergeCell ref="E36:F36"/>
    <mergeCell ref="G38:H38"/>
    <mergeCell ref="G39:H39"/>
    <mergeCell ref="B35:H35"/>
    <mergeCell ref="G36:H36"/>
    <mergeCell ref="G37:H37"/>
    <mergeCell ref="E39:F39"/>
    <mergeCell ref="F47:G47"/>
    <mergeCell ref="F48:G48"/>
    <mergeCell ref="E37:F37"/>
    <mergeCell ref="F44:G44"/>
    <mergeCell ref="E38:F38"/>
    <mergeCell ref="F45:G45"/>
    <mergeCell ref="F42:G42"/>
    <mergeCell ref="F43:G43"/>
    <mergeCell ref="G40:H40"/>
    <mergeCell ref="F41:G41"/>
    <mergeCell ref="C41:E41"/>
    <mergeCell ref="C43:E43"/>
    <mergeCell ref="C45:E45"/>
    <mergeCell ref="C47:E47"/>
    <mergeCell ref="C39:D39"/>
    <mergeCell ref="C40:D40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M21:M22"/>
    <mergeCell ref="N21:N22"/>
  </mergeCells>
  <printOptions horizontalCentered="1"/>
  <pageMargins left="0.19685039370078741" right="0.19685039370078741" top="0.26" bottom="0.23622047244094491" header="0.16" footer="0.24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7"/>
  <sheetViews>
    <sheetView topLeftCell="A13" zoomScale="110" zoomScaleNormal="110" workbookViewId="0">
      <selection activeCell="C17" sqref="C17:D17"/>
    </sheetView>
  </sheetViews>
  <sheetFormatPr defaultColWidth="9.140625" defaultRowHeight="15.75" outlineLevelRow="1"/>
  <cols>
    <col min="1" max="1" width="2.7109375" style="3" customWidth="1"/>
    <col min="2" max="2" width="56" style="3" customWidth="1"/>
    <col min="3" max="3" width="21.85546875" style="142" customWidth="1"/>
    <col min="4" max="4" width="9" style="142" customWidth="1"/>
    <col min="5" max="5" width="11.140625" style="142" customWidth="1"/>
    <col min="6" max="6" width="10.140625" style="3" customWidth="1"/>
    <col min="7" max="7" width="10.28515625" style="3" customWidth="1"/>
    <col min="8" max="8" width="11" style="3" customWidth="1"/>
    <col min="9" max="9" width="12.28515625" style="3" customWidth="1"/>
    <col min="10" max="12" width="9.140625" style="3"/>
    <col min="13" max="13" width="17.140625" style="110" customWidth="1"/>
    <col min="14" max="14" width="1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5" customHeight="1"/>
    <row r="5" spans="1:9">
      <c r="B5" s="3" t="s">
        <v>0</v>
      </c>
      <c r="D5" s="188" t="s">
        <v>74</v>
      </c>
      <c r="E5" s="188"/>
    </row>
    <row r="6" spans="1:9">
      <c r="B6" s="3" t="s">
        <v>1</v>
      </c>
      <c r="D6" s="135">
        <v>1971</v>
      </c>
      <c r="E6" s="135"/>
    </row>
    <row r="7" spans="1:9" hidden="1" outlineLevel="1">
      <c r="B7" s="3" t="s">
        <v>2</v>
      </c>
      <c r="D7" s="135">
        <v>2</v>
      </c>
      <c r="E7" s="135"/>
    </row>
    <row r="8" spans="1:9" hidden="1" outlineLevel="1">
      <c r="B8" s="3" t="s">
        <v>3</v>
      </c>
      <c r="D8" s="135">
        <v>16</v>
      </c>
      <c r="E8" s="135"/>
    </row>
    <row r="9" spans="1:9" ht="30.75" hidden="1" customHeight="1" outlineLevel="1">
      <c r="B9" s="13" t="s">
        <v>4</v>
      </c>
      <c r="C9" s="58"/>
      <c r="D9" s="135" t="s">
        <v>75</v>
      </c>
      <c r="E9" s="135"/>
    </row>
    <row r="10" spans="1:9" collapsed="1">
      <c r="B10" s="3" t="s">
        <v>5</v>
      </c>
      <c r="D10" s="135" t="s">
        <v>133</v>
      </c>
      <c r="E10" s="135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58"/>
      <c r="D12" s="109" t="s">
        <v>76</v>
      </c>
      <c r="E12" s="135"/>
      <c r="I12" s="10"/>
    </row>
    <row r="13" spans="1:9" ht="16.5" collapsed="1" thickBot="1">
      <c r="B13" s="155" t="s">
        <v>149</v>
      </c>
      <c r="C13" s="155"/>
      <c r="D13" s="155"/>
      <c r="E13" s="155"/>
      <c r="F13" s="155"/>
      <c r="G13" s="155"/>
      <c r="H13" s="155"/>
      <c r="I13" s="10"/>
    </row>
    <row r="14" spans="1:9" ht="39" customHeight="1" thickBot="1">
      <c r="B14" s="94" t="s">
        <v>155</v>
      </c>
      <c r="C14" s="147" t="s">
        <v>104</v>
      </c>
      <c r="D14" s="148"/>
      <c r="E14" s="156" t="s">
        <v>10</v>
      </c>
      <c r="F14" s="157"/>
      <c r="G14" s="156" t="s">
        <v>11</v>
      </c>
      <c r="H14" s="158"/>
      <c r="I14" s="10"/>
    </row>
    <row r="15" spans="1:9">
      <c r="B15" s="95" t="s">
        <v>12</v>
      </c>
      <c r="C15" s="149">
        <v>915476.31204102689</v>
      </c>
      <c r="D15" s="191"/>
      <c r="E15" s="153">
        <v>745998.00204102683</v>
      </c>
      <c r="F15" s="154"/>
      <c r="G15" s="153">
        <v>169478.31000000003</v>
      </c>
      <c r="H15" s="159"/>
      <c r="I15" s="10"/>
    </row>
    <row r="16" spans="1:9">
      <c r="B16" s="47" t="s">
        <v>13</v>
      </c>
      <c r="C16" s="151">
        <v>891031.94000000018</v>
      </c>
      <c r="D16" s="189"/>
      <c r="E16" s="151">
        <v>729993.09000000008</v>
      </c>
      <c r="F16" s="152"/>
      <c r="G16" s="151">
        <v>161038.85000000003</v>
      </c>
      <c r="H16" s="160"/>
      <c r="I16" s="10"/>
    </row>
    <row r="17" spans="2:14" ht="16.5" thickBot="1">
      <c r="B17" s="49" t="s">
        <v>78</v>
      </c>
      <c r="C17" s="161">
        <v>903291.48846089537</v>
      </c>
      <c r="D17" s="190"/>
      <c r="E17" s="164">
        <v>756182.48846089537</v>
      </c>
      <c r="F17" s="165"/>
      <c r="G17" s="164">
        <v>147109</v>
      </c>
      <c r="H17" s="166"/>
      <c r="I17" s="10"/>
    </row>
    <row r="18" spans="2:14" ht="33" customHeight="1" thickBot="1">
      <c r="B18" s="11" t="s">
        <v>135</v>
      </c>
      <c r="C18" s="170">
        <f>E18+G18</f>
        <v>-12259.548460895254</v>
      </c>
      <c r="D18" s="171"/>
      <c r="E18" s="168">
        <f>E16-E17</f>
        <v>-26189.398460895289</v>
      </c>
      <c r="F18" s="169"/>
      <c r="G18" s="168">
        <f>G16-G17</f>
        <v>13929.850000000035</v>
      </c>
      <c r="H18" s="172"/>
      <c r="I18" s="10"/>
    </row>
    <row r="19" spans="2:14">
      <c r="B19" s="13"/>
      <c r="C19" s="58"/>
      <c r="D19" s="109"/>
      <c r="E19" s="135"/>
      <c r="I19" s="10"/>
    </row>
    <row r="20" spans="2:14" ht="16.5" customHeight="1" thickBot="1">
      <c r="B20" s="177" t="s">
        <v>152</v>
      </c>
      <c r="C20" s="177"/>
      <c r="D20" s="177"/>
      <c r="E20" s="177"/>
      <c r="F20" s="177"/>
      <c r="G20" s="177"/>
      <c r="H20" s="177"/>
      <c r="L20" s="10"/>
      <c r="M20" s="145" t="s">
        <v>137</v>
      </c>
      <c r="N20" s="145" t="s">
        <v>138</v>
      </c>
    </row>
    <row r="21" spans="2:14" ht="34.5" customHeight="1">
      <c r="B21" s="178" t="s">
        <v>92</v>
      </c>
      <c r="C21" s="180" t="s">
        <v>93</v>
      </c>
      <c r="D21" s="180" t="s">
        <v>94</v>
      </c>
      <c r="E21" s="182" t="s">
        <v>153</v>
      </c>
      <c r="F21" s="184" t="s">
        <v>95</v>
      </c>
      <c r="G21" s="185"/>
      <c r="H21" s="186" t="s">
        <v>113</v>
      </c>
      <c r="L21" s="10"/>
      <c r="M21" s="146"/>
      <c r="N21" s="146"/>
    </row>
    <row r="22" spans="2:14" ht="39.75" customHeight="1" thickBot="1">
      <c r="B22" s="179"/>
      <c r="C22" s="181"/>
      <c r="D22" s="181"/>
      <c r="E22" s="183"/>
      <c r="F22" s="17" t="s">
        <v>83</v>
      </c>
      <c r="G22" s="18" t="s">
        <v>84</v>
      </c>
      <c r="H22" s="187"/>
      <c r="M22" s="111">
        <v>98072.98</v>
      </c>
      <c r="N22" s="111">
        <f>M22</f>
        <v>98072.98</v>
      </c>
    </row>
    <row r="23" spans="2:14" ht="53.25" customHeight="1">
      <c r="B23" s="19" t="s">
        <v>96</v>
      </c>
      <c r="C23" s="5" t="s">
        <v>111</v>
      </c>
      <c r="D23" s="20" t="s">
        <v>98</v>
      </c>
      <c r="E23" s="21">
        <v>2.2799999999999998</v>
      </c>
      <c r="F23" s="22">
        <f>$M$22/$M$23*E23</f>
        <v>16649.768756515263</v>
      </c>
      <c r="G23" s="23">
        <f>$N$22/$N$23*E23</f>
        <v>16649.768756515263</v>
      </c>
      <c r="H23" s="24">
        <f>F23-G23</f>
        <v>0</v>
      </c>
      <c r="I23" s="72"/>
      <c r="J23" s="138"/>
      <c r="K23" s="138"/>
      <c r="L23" s="26"/>
      <c r="M23" s="112">
        <f>E32-E30</f>
        <v>13.43</v>
      </c>
      <c r="N23" s="112">
        <f>E32-E30</f>
        <v>13.43</v>
      </c>
    </row>
    <row r="24" spans="2:14" ht="56.25">
      <c r="B24" s="73" t="s">
        <v>90</v>
      </c>
      <c r="C24" s="5" t="s">
        <v>111</v>
      </c>
      <c r="D24" s="20" t="s">
        <v>98</v>
      </c>
      <c r="E24" s="6">
        <v>2.98</v>
      </c>
      <c r="F24" s="22">
        <f t="shared" ref="F24:F31" si="0">$M$22/$M$23*E24</f>
        <v>21761.539865971707</v>
      </c>
      <c r="G24" s="23">
        <f t="shared" ref="G24:G28" si="1">$N$22/$N$23*E24</f>
        <v>21761.539865971707</v>
      </c>
      <c r="H24" s="24">
        <f t="shared" ref="H24:H29" si="2">F24-G24</f>
        <v>0</v>
      </c>
      <c r="I24" s="74"/>
      <c r="J24" s="2"/>
      <c r="K24" s="2"/>
      <c r="L24" s="2"/>
      <c r="M24" s="113"/>
      <c r="N24" s="113"/>
    </row>
    <row r="25" spans="2:14" ht="51.75" customHeight="1">
      <c r="B25" s="28" t="s">
        <v>85</v>
      </c>
      <c r="C25" s="5" t="s">
        <v>111</v>
      </c>
      <c r="D25" s="20" t="s">
        <v>98</v>
      </c>
      <c r="E25" s="6">
        <v>0.32</v>
      </c>
      <c r="F25" s="22">
        <f t="shared" si="0"/>
        <v>2336.8096500372303</v>
      </c>
      <c r="G25" s="23">
        <f t="shared" si="1"/>
        <v>2336.8096500372303</v>
      </c>
      <c r="H25" s="24">
        <f t="shared" si="2"/>
        <v>0</v>
      </c>
      <c r="I25" s="50"/>
      <c r="L25" s="10"/>
    </row>
    <row r="26" spans="2:14" ht="26.25">
      <c r="B26" s="75" t="s">
        <v>99</v>
      </c>
      <c r="C26" s="29" t="s">
        <v>100</v>
      </c>
      <c r="D26" s="20" t="s">
        <v>98</v>
      </c>
      <c r="E26" s="6">
        <v>0.5</v>
      </c>
      <c r="F26" s="22">
        <f>($M$22/12*2)/$M$23*E26</f>
        <v>608.54417969719532</v>
      </c>
      <c r="G26" s="23">
        <f>($N$22/112*2)/$N$23*E26</f>
        <v>65.201162110413776</v>
      </c>
      <c r="H26" s="24">
        <f t="shared" si="2"/>
        <v>543.34301758678157</v>
      </c>
      <c r="I26" s="50"/>
      <c r="L26" s="10"/>
    </row>
    <row r="27" spans="2:14" ht="51.75">
      <c r="B27" s="73" t="s">
        <v>86</v>
      </c>
      <c r="C27" s="5" t="s">
        <v>112</v>
      </c>
      <c r="D27" s="20" t="s">
        <v>98</v>
      </c>
      <c r="E27" s="6">
        <v>1.18</v>
      </c>
      <c r="F27" s="22">
        <f t="shared" si="0"/>
        <v>8616.9855845122856</v>
      </c>
      <c r="G27" s="23">
        <f t="shared" si="1"/>
        <v>8616.9855845122856</v>
      </c>
      <c r="H27" s="24">
        <f t="shared" si="2"/>
        <v>0</v>
      </c>
      <c r="I27" s="50"/>
    </row>
    <row r="28" spans="2:14" ht="214.5" customHeight="1">
      <c r="B28" s="27" t="s">
        <v>109</v>
      </c>
      <c r="C28" s="30" t="s">
        <v>101</v>
      </c>
      <c r="D28" s="20" t="s">
        <v>98</v>
      </c>
      <c r="E28" s="6">
        <v>5.61</v>
      </c>
      <c r="F28" s="22">
        <f t="shared" si="0"/>
        <v>40967.194177215191</v>
      </c>
      <c r="G28" s="23">
        <f t="shared" si="1"/>
        <v>40967.194177215191</v>
      </c>
      <c r="H28" s="24">
        <f t="shared" si="2"/>
        <v>0</v>
      </c>
      <c r="I28" s="74"/>
      <c r="J28" s="2"/>
      <c r="K28" s="2"/>
      <c r="L28" s="1"/>
      <c r="M28" s="113"/>
      <c r="N28" s="113"/>
    </row>
    <row r="29" spans="2:14" ht="107.25" customHeight="1">
      <c r="B29" s="73" t="s">
        <v>102</v>
      </c>
      <c r="C29" s="5" t="s">
        <v>111</v>
      </c>
      <c r="D29" s="20" t="s">
        <v>98</v>
      </c>
      <c r="E29" s="6">
        <v>0.19</v>
      </c>
      <c r="F29" s="22">
        <f t="shared" si="0"/>
        <v>1387.4807297096054</v>
      </c>
      <c r="G29" s="23">
        <f t="shared" ref="G29" si="3">$N$22/$N$23*E29</f>
        <v>1387.4807297096054</v>
      </c>
      <c r="H29" s="24">
        <f t="shared" si="2"/>
        <v>0</v>
      </c>
      <c r="I29" s="50"/>
    </row>
    <row r="30" spans="2:14" ht="56.25">
      <c r="B30" s="28" t="s">
        <v>103</v>
      </c>
      <c r="C30" s="5" t="s">
        <v>111</v>
      </c>
      <c r="D30" s="20" t="s">
        <v>98</v>
      </c>
      <c r="E30" s="6">
        <v>2.19</v>
      </c>
      <c r="F30" s="22">
        <v>17928.2</v>
      </c>
      <c r="G30" s="4">
        <v>64226</v>
      </c>
      <c r="H30" s="24">
        <f>F30-G30</f>
        <v>-46297.8</v>
      </c>
      <c r="I30" s="50"/>
      <c r="L30" s="10"/>
    </row>
    <row r="31" spans="2:14" ht="16.5" thickBot="1">
      <c r="B31" s="76" t="s">
        <v>88</v>
      </c>
      <c r="C31" s="32" t="s">
        <v>101</v>
      </c>
      <c r="D31" s="33" t="s">
        <v>98</v>
      </c>
      <c r="E31" s="34">
        <v>0.37</v>
      </c>
      <c r="F31" s="22">
        <f t="shared" si="0"/>
        <v>2701.9361578555472</v>
      </c>
      <c r="G31" s="23">
        <f t="shared" ref="G31" si="4">$N$22/$N$23*E31</f>
        <v>2701.9361578555472</v>
      </c>
      <c r="H31" s="35">
        <f>F31-G31</f>
        <v>0</v>
      </c>
      <c r="I31" s="50"/>
    </row>
    <row r="32" spans="2:14" ht="16.5" thickBot="1">
      <c r="B32" s="78" t="s">
        <v>89</v>
      </c>
      <c r="C32" s="37"/>
      <c r="D32" s="37"/>
      <c r="E32" s="38">
        <f>SUM(E23:E31)</f>
        <v>15.62</v>
      </c>
      <c r="F32" s="39">
        <f>SUM(F23:F31)</f>
        <v>112958.45910151402</v>
      </c>
      <c r="G32" s="40">
        <f>SUM(G23:G31)</f>
        <v>158712.91608392727</v>
      </c>
      <c r="H32" s="41">
        <f>SUM(H23:H31)</f>
        <v>-45754.45698241322</v>
      </c>
      <c r="I32" s="108"/>
    </row>
    <row r="33" spans="2:14">
      <c r="B33" s="10"/>
      <c r="C33" s="10"/>
      <c r="D33" s="10"/>
      <c r="E33" s="141"/>
      <c r="F33" s="141"/>
      <c r="G33" s="141"/>
      <c r="H33" s="142"/>
    </row>
    <row r="34" spans="2:14" ht="16.5" customHeight="1" thickBot="1">
      <c r="B34" s="155" t="s">
        <v>154</v>
      </c>
      <c r="C34" s="155"/>
      <c r="D34" s="155"/>
      <c r="E34" s="155"/>
      <c r="F34" s="155"/>
      <c r="G34" s="155"/>
      <c r="H34" s="155"/>
      <c r="I34" s="82"/>
      <c r="J34" s="82"/>
    </row>
    <row r="35" spans="2:14" ht="44.25" customHeight="1" thickBot="1">
      <c r="B35" s="94" t="s">
        <v>155</v>
      </c>
      <c r="C35" s="147" t="s">
        <v>104</v>
      </c>
      <c r="D35" s="148"/>
      <c r="E35" s="156" t="s">
        <v>10</v>
      </c>
      <c r="F35" s="157"/>
      <c r="G35" s="156" t="s">
        <v>11</v>
      </c>
      <c r="H35" s="158"/>
      <c r="I35" s="83"/>
      <c r="J35" s="87"/>
      <c r="K35" s="45"/>
      <c r="L35" s="46"/>
      <c r="M35" s="114"/>
      <c r="N35" s="114"/>
    </row>
    <row r="36" spans="2:14">
      <c r="B36" s="95" t="s">
        <v>12</v>
      </c>
      <c r="C36" s="149">
        <f>E36+G36</f>
        <v>1028434.7711425408</v>
      </c>
      <c r="D36" s="150"/>
      <c r="E36" s="153">
        <f>F23+F24+F25+F26+F27+F28+F29+F31+E15</f>
        <v>841028.26114254084</v>
      </c>
      <c r="F36" s="154"/>
      <c r="G36" s="153">
        <f>F30+G15</f>
        <v>187406.51000000004</v>
      </c>
      <c r="H36" s="159"/>
      <c r="I36" s="85"/>
      <c r="J36" s="88"/>
      <c r="K36" s="7"/>
      <c r="L36" s="7"/>
      <c r="M36" s="115"/>
    </row>
    <row r="37" spans="2:14">
      <c r="B37" s="47" t="s">
        <v>13</v>
      </c>
      <c r="C37" s="151">
        <f>E37+G37</f>
        <v>996439.69000000018</v>
      </c>
      <c r="D37" s="152"/>
      <c r="E37" s="151">
        <f>E16+89116.79</f>
        <v>819109.88000000012</v>
      </c>
      <c r="F37" s="152"/>
      <c r="G37" s="151">
        <f>G16+16290.96</f>
        <v>177329.81000000003</v>
      </c>
      <c r="H37" s="160"/>
      <c r="I37" s="85"/>
      <c r="J37" s="88"/>
      <c r="K37" s="9"/>
      <c r="L37" s="7"/>
      <c r="M37" s="115"/>
    </row>
    <row r="38" spans="2:14" ht="16.5" thickBot="1">
      <c r="B38" s="49" t="s">
        <v>78</v>
      </c>
      <c r="C38" s="161">
        <f>E38+G38</f>
        <v>1062004.4045448226</v>
      </c>
      <c r="D38" s="162"/>
      <c r="E38" s="164">
        <f>G23+G24+G25+G26+G27+G28+G29+G31+E17</f>
        <v>850669.40454482264</v>
      </c>
      <c r="F38" s="165"/>
      <c r="G38" s="164">
        <f>G30+G17</f>
        <v>211335</v>
      </c>
      <c r="H38" s="166"/>
      <c r="I38" s="85"/>
      <c r="J38" s="88"/>
      <c r="K38" s="50"/>
      <c r="L38" s="50"/>
    </row>
    <row r="39" spans="2:14" ht="36.75" thickBot="1">
      <c r="B39" s="11" t="s">
        <v>136</v>
      </c>
      <c r="C39" s="170">
        <f>E39+G39</f>
        <v>-65564.714544822491</v>
      </c>
      <c r="D39" s="171"/>
      <c r="E39" s="168">
        <f>E37-E38</f>
        <v>-31559.524544822518</v>
      </c>
      <c r="F39" s="169"/>
      <c r="G39" s="168">
        <f>G37-G38</f>
        <v>-34005.189999999973</v>
      </c>
      <c r="H39" s="172"/>
      <c r="I39" s="85"/>
      <c r="J39" s="88"/>
      <c r="K39" s="50"/>
      <c r="L39" s="50"/>
    </row>
    <row r="40" spans="2:14" ht="29.25" customHeight="1">
      <c r="B40" s="132" t="s">
        <v>79</v>
      </c>
      <c r="C40" s="163" t="s">
        <v>141</v>
      </c>
      <c r="D40" s="163"/>
      <c r="E40" s="163"/>
      <c r="F40" s="167" t="s">
        <v>146</v>
      </c>
      <c r="G40" s="167"/>
      <c r="H40" s="86"/>
      <c r="I40" s="86"/>
      <c r="J40" s="2"/>
      <c r="K40" s="2"/>
      <c r="L40" s="2"/>
      <c r="M40" s="113"/>
      <c r="N40" s="113"/>
    </row>
    <row r="41" spans="2:14" ht="9.75" customHeight="1">
      <c r="B41" s="132"/>
      <c r="C41" s="132"/>
      <c r="D41" s="132"/>
      <c r="E41" s="133"/>
      <c r="F41" s="174"/>
      <c r="G41" s="174"/>
      <c r="H41" s="86"/>
      <c r="I41" s="86"/>
      <c r="J41" s="2"/>
      <c r="K41" s="2"/>
      <c r="L41" s="2"/>
      <c r="M41" s="113"/>
      <c r="N41" s="113"/>
    </row>
    <row r="42" spans="2:14">
      <c r="B42" s="132" t="s">
        <v>80</v>
      </c>
      <c r="C42" s="163" t="s">
        <v>141</v>
      </c>
      <c r="D42" s="163"/>
      <c r="E42" s="163"/>
      <c r="F42" s="167" t="s">
        <v>91</v>
      </c>
      <c r="G42" s="167"/>
      <c r="H42" s="86"/>
      <c r="I42" s="86"/>
      <c r="J42" s="2"/>
      <c r="K42" s="2"/>
      <c r="L42" s="2"/>
      <c r="M42" s="113"/>
      <c r="N42" s="113"/>
    </row>
    <row r="43" spans="2:14" ht="6.75" customHeight="1">
      <c r="B43" s="132"/>
      <c r="C43" s="132"/>
      <c r="D43" s="132"/>
      <c r="E43" s="133"/>
      <c r="F43" s="167"/>
      <c r="G43" s="167"/>
      <c r="H43" s="86"/>
      <c r="I43" s="86"/>
    </row>
    <row r="44" spans="2:14">
      <c r="B44" s="132" t="s">
        <v>81</v>
      </c>
      <c r="C44" s="163" t="s">
        <v>141</v>
      </c>
      <c r="D44" s="163"/>
      <c r="E44" s="163"/>
      <c r="F44" s="167" t="s">
        <v>148</v>
      </c>
      <c r="G44" s="167"/>
      <c r="H44" s="86"/>
      <c r="I44" s="86"/>
    </row>
    <row r="45" spans="2:14" ht="9.75" customHeight="1">
      <c r="B45" s="51"/>
      <c r="C45" s="51"/>
      <c r="D45" s="51"/>
      <c r="E45" s="133"/>
      <c r="F45" s="52"/>
      <c r="G45" s="53"/>
      <c r="H45" s="54"/>
      <c r="I45" s="8"/>
    </row>
    <row r="46" spans="2:14">
      <c r="B46" s="132" t="s">
        <v>82</v>
      </c>
      <c r="C46" s="163" t="s">
        <v>141</v>
      </c>
      <c r="D46" s="163"/>
      <c r="E46" s="163"/>
      <c r="F46" s="167" t="s">
        <v>148</v>
      </c>
      <c r="G46" s="167"/>
      <c r="H46" s="86"/>
      <c r="I46" s="86"/>
    </row>
    <row r="47" spans="2:14" ht="7.5" customHeight="1">
      <c r="C47" s="3"/>
      <c r="D47" s="3"/>
      <c r="E47" s="137"/>
      <c r="F47" s="195"/>
      <c r="G47" s="195"/>
      <c r="H47" s="142"/>
      <c r="I47" s="142"/>
    </row>
  </sheetData>
  <mergeCells count="55">
    <mergeCell ref="B1:H1"/>
    <mergeCell ref="B2:H3"/>
    <mergeCell ref="B20:H20"/>
    <mergeCell ref="B21:B22"/>
    <mergeCell ref="C21:C22"/>
    <mergeCell ref="D21:D22"/>
    <mergeCell ref="E21:E22"/>
    <mergeCell ref="F21:G21"/>
    <mergeCell ref="H21:H22"/>
    <mergeCell ref="D5:E5"/>
    <mergeCell ref="B13:H13"/>
    <mergeCell ref="C14:D14"/>
    <mergeCell ref="E14:F14"/>
    <mergeCell ref="G14:H14"/>
    <mergeCell ref="C15:D15"/>
    <mergeCell ref="E15:F15"/>
    <mergeCell ref="E39:F39"/>
    <mergeCell ref="C35:D35"/>
    <mergeCell ref="C36:D36"/>
    <mergeCell ref="C37:D37"/>
    <mergeCell ref="E35:F35"/>
    <mergeCell ref="G37:H37"/>
    <mergeCell ref="G38:H38"/>
    <mergeCell ref="B34:H34"/>
    <mergeCell ref="G35:H35"/>
    <mergeCell ref="G36:H36"/>
    <mergeCell ref="E38:F38"/>
    <mergeCell ref="F46:G46"/>
    <mergeCell ref="F47:G47"/>
    <mergeCell ref="E36:F36"/>
    <mergeCell ref="F43:G43"/>
    <mergeCell ref="E37:F37"/>
    <mergeCell ref="F44:G44"/>
    <mergeCell ref="F41:G41"/>
    <mergeCell ref="F42:G42"/>
    <mergeCell ref="G39:H39"/>
    <mergeCell ref="F40:G40"/>
    <mergeCell ref="C40:E40"/>
    <mergeCell ref="C42:E42"/>
    <mergeCell ref="C44:E44"/>
    <mergeCell ref="C46:E46"/>
    <mergeCell ref="C38:D38"/>
    <mergeCell ref="C39:D39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M20:M21"/>
    <mergeCell ref="N20:N21"/>
  </mergeCells>
  <printOptions horizontalCentered="1"/>
  <pageMargins left="0.19685039370078741" right="0.19685039370078741" top="0.16" bottom="0.23622047244094491" header="0.16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1"/>
  <sheetViews>
    <sheetView topLeftCell="A26"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3" customWidth="1"/>
    <col min="2" max="2" width="56.5703125" style="3" customWidth="1"/>
    <col min="3" max="3" width="23" style="142" customWidth="1"/>
    <col min="4" max="4" width="8.85546875" style="142" customWidth="1"/>
    <col min="5" max="5" width="10.28515625" style="142" customWidth="1"/>
    <col min="6" max="6" width="9.85546875" style="3" customWidth="1"/>
    <col min="7" max="7" width="10.42578125" style="3" customWidth="1"/>
    <col min="8" max="8" width="10.7109375" style="3" customWidth="1"/>
    <col min="9" max="9" width="11.140625" style="3" bestFit="1" customWidth="1"/>
    <col min="10" max="12" width="9.140625" style="3"/>
    <col min="13" max="13" width="14.5703125" style="110" customWidth="1"/>
    <col min="14" max="14" width="15.42578125" style="110" customWidth="1"/>
    <col min="15" max="15" width="12.7109375" style="3" customWidth="1"/>
    <col min="16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4.25" customHeight="1"/>
    <row r="5" spans="2:9">
      <c r="B5" s="3" t="s">
        <v>0</v>
      </c>
      <c r="D5" s="188" t="s">
        <v>17</v>
      </c>
      <c r="E5" s="188"/>
    </row>
    <row r="6" spans="2:9">
      <c r="B6" s="3" t="s">
        <v>1</v>
      </c>
      <c r="D6" s="135">
        <v>1977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18</v>
      </c>
      <c r="E8" s="135"/>
    </row>
    <row r="9" spans="2:9" ht="30.75" hidden="1" customHeight="1" outlineLevel="1">
      <c r="B9" s="13" t="s">
        <v>4</v>
      </c>
      <c r="C9" s="58"/>
      <c r="D9" s="135" t="s">
        <v>18</v>
      </c>
      <c r="E9" s="135"/>
    </row>
    <row r="10" spans="2:9" collapsed="1">
      <c r="B10" s="3" t="s">
        <v>5</v>
      </c>
      <c r="D10" s="135" t="s">
        <v>115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58"/>
      <c r="D12" s="109" t="s">
        <v>19</v>
      </c>
      <c r="E12" s="135"/>
      <c r="I12" s="10"/>
    </row>
    <row r="13" spans="2:9" ht="7.5" customHeight="1" collapsed="1">
      <c r="B13" s="13"/>
      <c r="C13" s="58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9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1276424.33</v>
      </c>
      <c r="D16" s="191"/>
      <c r="E16" s="153">
        <v>980473.66</v>
      </c>
      <c r="F16" s="154"/>
      <c r="G16" s="153">
        <f>295950.67-1251.31</f>
        <v>294699.36</v>
      </c>
      <c r="H16" s="159"/>
      <c r="I16" s="10"/>
    </row>
    <row r="17" spans="2:14">
      <c r="B17" s="47" t="s">
        <v>13</v>
      </c>
      <c r="C17" s="151">
        <v>1244870.4500000002</v>
      </c>
      <c r="D17" s="189"/>
      <c r="E17" s="151">
        <v>957979.64000000013</v>
      </c>
      <c r="F17" s="152"/>
      <c r="G17" s="151">
        <f>286890.81+967.93</f>
        <v>287858.74</v>
      </c>
      <c r="H17" s="160"/>
      <c r="I17" s="10"/>
    </row>
    <row r="18" spans="2:14">
      <c r="B18" s="49" t="s">
        <v>78</v>
      </c>
      <c r="C18" s="151">
        <v>1256240.6381999999</v>
      </c>
      <c r="D18" s="189"/>
      <c r="E18" s="164">
        <v>977142.63820000004</v>
      </c>
      <c r="F18" s="165"/>
      <c r="G18" s="164">
        <v>279098</v>
      </c>
      <c r="H18" s="166"/>
      <c r="I18" s="10"/>
    </row>
    <row r="19" spans="2:14" ht="16.5" thickBot="1">
      <c r="B19" s="59" t="s">
        <v>134</v>
      </c>
      <c r="C19" s="161">
        <v>8100</v>
      </c>
      <c r="D19" s="190"/>
      <c r="E19" s="161">
        <v>8100</v>
      </c>
      <c r="F19" s="162"/>
      <c r="G19" s="161">
        <v>0</v>
      </c>
      <c r="H19" s="192"/>
      <c r="I19" s="10"/>
    </row>
    <row r="20" spans="2:14" ht="28.5" customHeight="1" thickBot="1">
      <c r="B20" s="11" t="s">
        <v>135</v>
      </c>
      <c r="C20" s="170">
        <f>E20+G20</f>
        <v>-2302.2581999999238</v>
      </c>
      <c r="D20" s="171"/>
      <c r="E20" s="168">
        <f>E17+E19-E18</f>
        <v>-11062.998199999915</v>
      </c>
      <c r="F20" s="169"/>
      <c r="G20" s="168">
        <f>G17-G18</f>
        <v>8760.7399999999907</v>
      </c>
      <c r="H20" s="172"/>
      <c r="I20" s="10"/>
    </row>
    <row r="21" spans="2:14">
      <c r="B21" s="13"/>
      <c r="C21" s="58"/>
      <c r="D21" s="109"/>
      <c r="E21" s="135"/>
      <c r="I21" s="10"/>
    </row>
    <row r="22" spans="2:14" ht="21.7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132754.28</v>
      </c>
      <c r="N24" s="111">
        <f>M24</f>
        <v>132754.28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2.2799999999999998</v>
      </c>
      <c r="F25" s="22">
        <f>$M$24/$M$25*E25</f>
        <v>22604.911008215084</v>
      </c>
      <c r="G25" s="23">
        <f>$N$24/$N$25*E25</f>
        <v>22604.911008215084</v>
      </c>
      <c r="H25" s="24">
        <f>F25-G25</f>
        <v>0</v>
      </c>
      <c r="I25" s="25"/>
      <c r="J25" s="25"/>
      <c r="K25" s="138"/>
      <c r="L25" s="26"/>
      <c r="M25" s="112">
        <f>E34-E32</f>
        <v>13.389999999999999</v>
      </c>
      <c r="N25" s="112">
        <f>E34-E32</f>
        <v>13.389999999999999</v>
      </c>
    </row>
    <row r="26" spans="2:14" ht="51">
      <c r="B26" s="27" t="s">
        <v>90</v>
      </c>
      <c r="C26" s="5" t="s">
        <v>111</v>
      </c>
      <c r="D26" s="20" t="s">
        <v>98</v>
      </c>
      <c r="E26" s="6">
        <v>2.98</v>
      </c>
      <c r="F26" s="22">
        <f>$M$24/$M$25*E26</f>
        <v>29545.015265123227</v>
      </c>
      <c r="G26" s="23">
        <f>$N$24/$N$25*E26</f>
        <v>29545.015265123227</v>
      </c>
      <c r="H26" s="24">
        <f t="shared" ref="H26:H30" si="0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ref="F27:F33" si="1">$M$24/$M$25*E27</f>
        <v>3172.6190888722927</v>
      </c>
      <c r="G27" s="23">
        <f t="shared" ref="G27:G30" si="2">$N$24/$N$25*E27</f>
        <v>3172.6190888722927</v>
      </c>
      <c r="H27" s="24">
        <f t="shared" si="0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</v>
      </c>
      <c r="F28" s="22">
        <f t="shared" si="1"/>
        <v>0</v>
      </c>
      <c r="G28" s="23">
        <f t="shared" si="2"/>
        <v>0</v>
      </c>
      <c r="H28" s="24">
        <f t="shared" si="0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1.48</v>
      </c>
      <c r="F29" s="22">
        <f t="shared" si="1"/>
        <v>14673.363286034353</v>
      </c>
      <c r="G29" s="23">
        <f t="shared" si="2"/>
        <v>14673.363286034353</v>
      </c>
      <c r="H29" s="24">
        <f t="shared" si="0"/>
        <v>0</v>
      </c>
      <c r="I29" s="25"/>
      <c r="J29" s="25"/>
    </row>
    <row r="30" spans="2:14" ht="228.75" customHeight="1">
      <c r="B30" s="27" t="s">
        <v>109</v>
      </c>
      <c r="C30" s="30" t="s">
        <v>101</v>
      </c>
      <c r="D30" s="20" t="s">
        <v>98</v>
      </c>
      <c r="E30" s="6">
        <v>5.64</v>
      </c>
      <c r="F30" s="22">
        <f t="shared" si="1"/>
        <v>55917.411441374155</v>
      </c>
      <c r="G30" s="23">
        <f t="shared" si="2"/>
        <v>55917.411441374155</v>
      </c>
      <c r="H30" s="24">
        <f t="shared" si="0"/>
        <v>0</v>
      </c>
      <c r="I30" s="25"/>
      <c r="J30" s="25"/>
      <c r="K30" s="2"/>
      <c r="L30" s="1"/>
      <c r="M30" s="113"/>
      <c r="N30" s="113"/>
    </row>
    <row r="31" spans="2:14" ht="123" customHeight="1">
      <c r="B31" s="27" t="s">
        <v>102</v>
      </c>
      <c r="C31" s="5" t="s">
        <v>111</v>
      </c>
      <c r="D31" s="20" t="s">
        <v>98</v>
      </c>
      <c r="E31" s="6">
        <v>0.24</v>
      </c>
      <c r="F31" s="22">
        <f t="shared" si="1"/>
        <v>2379.4643166542196</v>
      </c>
      <c r="G31" s="23">
        <f t="shared" ref="G31" si="3">$N$24/$N$25*E31</f>
        <v>2379.4643166542196</v>
      </c>
      <c r="H31" s="24">
        <f>F31-G31</f>
        <v>0</v>
      </c>
      <c r="I31" s="25"/>
      <c r="J31" s="25"/>
    </row>
    <row r="32" spans="2:14" ht="45">
      <c r="B32" s="31" t="s">
        <v>103</v>
      </c>
      <c r="C32" s="5" t="s">
        <v>111</v>
      </c>
      <c r="D32" s="33" t="s">
        <v>98</v>
      </c>
      <c r="E32" s="34">
        <v>2.72</v>
      </c>
      <c r="F32" s="22">
        <v>30343.84</v>
      </c>
      <c r="G32" s="4">
        <v>17588</v>
      </c>
      <c r="H32" s="35">
        <f>F32-G32</f>
        <v>12755.84</v>
      </c>
      <c r="I32" s="25"/>
      <c r="J32" s="25"/>
      <c r="L32" s="10"/>
    </row>
    <row r="33" spans="2:14" ht="16.5" thickBot="1">
      <c r="B33" s="59" t="s">
        <v>88</v>
      </c>
      <c r="C33" s="60" t="s">
        <v>101</v>
      </c>
      <c r="D33" s="61" t="s">
        <v>98</v>
      </c>
      <c r="E33" s="102">
        <v>0.45</v>
      </c>
      <c r="F33" s="89">
        <f t="shared" si="1"/>
        <v>4461.4955937266623</v>
      </c>
      <c r="G33" s="23">
        <f t="shared" ref="G33" si="4">$N$24/$N$25*E33</f>
        <v>4461.4955937266623</v>
      </c>
      <c r="H33" s="62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16.11</v>
      </c>
      <c r="F34" s="39">
        <f>SUM(F25:F33)</f>
        <v>163098.12</v>
      </c>
      <c r="G34" s="40">
        <f>SUM(G25:G33)</f>
        <v>150342.28</v>
      </c>
      <c r="H34" s="41">
        <f>SUM(H25:H33)</f>
        <v>12755.84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1438271.14</v>
      </c>
      <c r="D38" s="150"/>
      <c r="E38" s="153">
        <f>F25+F26+F27+F28+F29+F30+F31+F33+E16</f>
        <v>1113227.94</v>
      </c>
      <c r="F38" s="154"/>
      <c r="G38" s="153">
        <f>F32+G16</f>
        <v>325043.20000000001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1407227.3800000004</v>
      </c>
      <c r="D39" s="152"/>
      <c r="E39" s="151">
        <f>E17+131363.14</f>
        <v>1089342.7800000003</v>
      </c>
      <c r="F39" s="152"/>
      <c r="G39" s="151">
        <f>G17+30025.86</f>
        <v>317884.59999999998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1406582.9182</v>
      </c>
      <c r="D40" s="152"/>
      <c r="E40" s="164">
        <f>G25+G26+G27+G28+G29+G30+G31+G33+E18</f>
        <v>1109896.9182</v>
      </c>
      <c r="F40" s="165"/>
      <c r="G40" s="164">
        <f>G32+G18</f>
        <v>296686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8400</v>
      </c>
      <c r="D41" s="162"/>
      <c r="E41" s="161">
        <f>E19+300</f>
        <v>8400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30.75" customHeight="1" thickBot="1">
      <c r="B42" s="11" t="s">
        <v>136</v>
      </c>
      <c r="C42" s="170">
        <f>E42+G42</f>
        <v>9044.4618000002811</v>
      </c>
      <c r="D42" s="171"/>
      <c r="E42" s="168">
        <f>E39+E41-E40</f>
        <v>-12154.138199999696</v>
      </c>
      <c r="F42" s="169"/>
      <c r="G42" s="168">
        <f>G39-G40</f>
        <v>21198.599999999977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  <row r="51" spans="2:7">
      <c r="C51" s="141"/>
      <c r="E51" s="137"/>
    </row>
  </sheetData>
  <mergeCells count="61">
    <mergeCell ref="E17:F17"/>
    <mergeCell ref="G17:H17"/>
    <mergeCell ref="E20:F20"/>
    <mergeCell ref="G20:H20"/>
    <mergeCell ref="E18:F18"/>
    <mergeCell ref="G18:H18"/>
    <mergeCell ref="E19:F19"/>
    <mergeCell ref="G19:H19"/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E15:F15"/>
    <mergeCell ref="G15:H15"/>
    <mergeCell ref="C20:D20"/>
    <mergeCell ref="E16:F16"/>
    <mergeCell ref="G16:H16"/>
    <mergeCell ref="F50:G50"/>
    <mergeCell ref="F46:G46"/>
    <mergeCell ref="F47:G47"/>
    <mergeCell ref="F43:G43"/>
    <mergeCell ref="F44:G44"/>
    <mergeCell ref="F45:G45"/>
    <mergeCell ref="C15:D15"/>
    <mergeCell ref="C16:D16"/>
    <mergeCell ref="C17:D17"/>
    <mergeCell ref="C18:D18"/>
    <mergeCell ref="C19:D19"/>
    <mergeCell ref="N22:N23"/>
    <mergeCell ref="C37:D37"/>
    <mergeCell ref="C38:D38"/>
    <mergeCell ref="C39:D39"/>
    <mergeCell ref="E39:F39"/>
    <mergeCell ref="G39:H39"/>
    <mergeCell ref="B36:H36"/>
    <mergeCell ref="E37:F37"/>
    <mergeCell ref="G37:H37"/>
    <mergeCell ref="E38:F38"/>
    <mergeCell ref="G38:H38"/>
    <mergeCell ref="C43:E43"/>
    <mergeCell ref="C45:E45"/>
    <mergeCell ref="C47:E47"/>
    <mergeCell ref="C49:E49"/>
    <mergeCell ref="M22:M23"/>
    <mergeCell ref="F49:G49"/>
    <mergeCell ref="G40:H40"/>
    <mergeCell ref="G42:H42"/>
    <mergeCell ref="E40:F40"/>
    <mergeCell ref="E42:F42"/>
    <mergeCell ref="E41:F41"/>
    <mergeCell ref="G41:H41"/>
    <mergeCell ref="C40:D40"/>
    <mergeCell ref="C41:D41"/>
    <mergeCell ref="C42:D42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1"/>
  <sheetViews>
    <sheetView topLeftCell="A17" zoomScale="110" zoomScaleNormal="110" workbookViewId="0">
      <selection activeCell="B30" sqref="B30"/>
    </sheetView>
  </sheetViews>
  <sheetFormatPr defaultColWidth="9.140625" defaultRowHeight="15.75" outlineLevelRow="1"/>
  <cols>
    <col min="1" max="1" width="2.85546875" style="3" customWidth="1"/>
    <col min="2" max="2" width="57.140625" style="3" customWidth="1"/>
    <col min="3" max="3" width="21.85546875" style="141" customWidth="1"/>
    <col min="4" max="4" width="9" style="142" customWidth="1"/>
    <col min="5" max="5" width="10.28515625" style="142" customWidth="1"/>
    <col min="6" max="6" width="10.85546875" style="3" customWidth="1"/>
    <col min="7" max="8" width="10.42578125" style="3" customWidth="1"/>
    <col min="9" max="9" width="11.140625" style="3" bestFit="1" customWidth="1"/>
    <col min="10" max="12" width="9.140625" style="3"/>
    <col min="13" max="13" width="18.7109375" style="110" customWidth="1"/>
    <col min="14" max="14" width="15.8554687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2.75" customHeight="1"/>
    <row r="5" spans="2:9">
      <c r="B5" s="3" t="s">
        <v>0</v>
      </c>
      <c r="D5" s="188" t="s">
        <v>20</v>
      </c>
      <c r="E5" s="188"/>
    </row>
    <row r="6" spans="2:9">
      <c r="B6" s="3" t="s">
        <v>1</v>
      </c>
      <c r="D6" s="135">
        <v>1980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18</v>
      </c>
      <c r="E8" s="135"/>
    </row>
    <row r="9" spans="2:9" ht="30.75" hidden="1" customHeight="1" outlineLevel="1">
      <c r="B9" s="13" t="s">
        <v>4</v>
      </c>
      <c r="C9" s="14"/>
      <c r="D9" s="135" t="s">
        <v>21</v>
      </c>
      <c r="E9" s="135"/>
    </row>
    <row r="10" spans="2:9" collapsed="1">
      <c r="B10" s="3" t="s">
        <v>5</v>
      </c>
      <c r="D10" s="135" t="s">
        <v>116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14"/>
      <c r="D12" s="109" t="s">
        <v>22</v>
      </c>
      <c r="E12" s="135"/>
      <c r="I12" s="10"/>
    </row>
    <row r="13" spans="2:9" collapsed="1">
      <c r="B13" s="13"/>
      <c r="C13" s="14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5.7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1329421.82</v>
      </c>
      <c r="D16" s="191"/>
      <c r="E16" s="153">
        <v>991798.23</v>
      </c>
      <c r="F16" s="154"/>
      <c r="G16" s="153">
        <f>337623.59+163.23</f>
        <v>337786.82</v>
      </c>
      <c r="H16" s="159"/>
      <c r="I16" s="10"/>
    </row>
    <row r="17" spans="2:14">
      <c r="B17" s="47" t="s">
        <v>13</v>
      </c>
      <c r="C17" s="151">
        <v>1326141.6000000001</v>
      </c>
      <c r="D17" s="189"/>
      <c r="E17" s="151">
        <v>990142.49</v>
      </c>
      <c r="F17" s="152"/>
      <c r="G17" s="151">
        <f>335999.11+1197.83</f>
        <v>337196.94</v>
      </c>
      <c r="H17" s="160"/>
      <c r="I17" s="10"/>
    </row>
    <row r="18" spans="2:14">
      <c r="B18" s="49" t="s">
        <v>78</v>
      </c>
      <c r="C18" s="151">
        <v>1404591.0760999999</v>
      </c>
      <c r="D18" s="189"/>
      <c r="E18" s="164">
        <v>987234.07609999995</v>
      </c>
      <c r="F18" s="165"/>
      <c r="G18" s="164">
        <v>417357</v>
      </c>
      <c r="H18" s="166"/>
      <c r="I18" s="10"/>
    </row>
    <row r="19" spans="2:14" ht="16.5" thickBot="1">
      <c r="B19" s="59" t="s">
        <v>134</v>
      </c>
      <c r="C19" s="161">
        <v>8100</v>
      </c>
      <c r="D19" s="190"/>
      <c r="E19" s="161">
        <v>8100</v>
      </c>
      <c r="F19" s="162"/>
      <c r="G19" s="161">
        <v>0</v>
      </c>
      <c r="H19" s="192"/>
      <c r="I19" s="10"/>
    </row>
    <row r="20" spans="2:14" ht="30" customHeight="1" thickBot="1">
      <c r="B20" s="11" t="s">
        <v>135</v>
      </c>
      <c r="C20" s="170">
        <f>E20+G20</f>
        <v>-69151.646099999954</v>
      </c>
      <c r="D20" s="171"/>
      <c r="E20" s="168">
        <f>E17+E19-E18</f>
        <v>11008.413900000043</v>
      </c>
      <c r="F20" s="169"/>
      <c r="G20" s="168">
        <f>G17-G18</f>
        <v>-80160.06</v>
      </c>
      <c r="H20" s="172"/>
      <c r="I20" s="10"/>
    </row>
    <row r="21" spans="2:14">
      <c r="B21" s="13"/>
      <c r="C21" s="14"/>
      <c r="D21" s="109"/>
      <c r="E21" s="135"/>
      <c r="I21" s="10"/>
    </row>
    <row r="22" spans="2:14" ht="19.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129899.34</v>
      </c>
      <c r="N24" s="111">
        <f>M24</f>
        <v>129899.34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2.2799999999999998</v>
      </c>
      <c r="F25" s="22">
        <f>$M$24/$M$25*E25</f>
        <v>21555.348995633183</v>
      </c>
      <c r="G25" s="23">
        <f>$N$24/$N$25*E25</f>
        <v>21555.348995633183</v>
      </c>
      <c r="H25" s="24">
        <f>F25-G25</f>
        <v>0</v>
      </c>
      <c r="I25" s="25"/>
      <c r="J25" s="25"/>
      <c r="K25" s="138"/>
      <c r="L25" s="26"/>
      <c r="M25" s="112">
        <f>E34-E32</f>
        <v>13.740000000000002</v>
      </c>
      <c r="N25" s="112">
        <f>E34-E32</f>
        <v>13.740000000000002</v>
      </c>
    </row>
    <row r="26" spans="2:14" ht="56.25">
      <c r="B26" s="27" t="s">
        <v>90</v>
      </c>
      <c r="C26" s="5" t="s">
        <v>111</v>
      </c>
      <c r="D26" s="20" t="s">
        <v>98</v>
      </c>
      <c r="E26" s="6">
        <v>2.98</v>
      </c>
      <c r="F26" s="22">
        <f>$M$24/$M$25*E26</f>
        <v>28173.21930131004</v>
      </c>
      <c r="G26" s="23">
        <f>$N$24/$N$25*E26</f>
        <v>28173.21930131004</v>
      </c>
      <c r="H26" s="24">
        <f t="shared" ref="H26:H31" si="0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ref="F27:F33" si="1">$M$24/$M$25*E27</f>
        <v>3025.3121397379909</v>
      </c>
      <c r="G27" s="23">
        <f t="shared" ref="G27:G30" si="2">$N$24/$N$25*E27</f>
        <v>3025.3121397379909</v>
      </c>
      <c r="H27" s="24">
        <f t="shared" si="0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</v>
      </c>
      <c r="F28" s="22">
        <f t="shared" si="1"/>
        <v>0</v>
      </c>
      <c r="G28" s="23">
        <f t="shared" si="2"/>
        <v>0</v>
      </c>
      <c r="H28" s="24">
        <f t="shared" si="0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1.48</v>
      </c>
      <c r="F29" s="22">
        <f t="shared" si="1"/>
        <v>13992.068646288208</v>
      </c>
      <c r="G29" s="23">
        <f t="shared" si="2"/>
        <v>13992.068646288208</v>
      </c>
      <c r="H29" s="24">
        <f t="shared" si="0"/>
        <v>0</v>
      </c>
      <c r="I29" s="25"/>
      <c r="J29" s="25"/>
    </row>
    <row r="30" spans="2:14" ht="227.25" customHeight="1">
      <c r="B30" s="27" t="s">
        <v>109</v>
      </c>
      <c r="C30" s="30" t="s">
        <v>101</v>
      </c>
      <c r="D30" s="20" t="s">
        <v>98</v>
      </c>
      <c r="E30" s="6">
        <v>5.61</v>
      </c>
      <c r="F30" s="22">
        <f t="shared" si="1"/>
        <v>53037.503449781652</v>
      </c>
      <c r="G30" s="23">
        <f t="shared" si="2"/>
        <v>53037.503449781652</v>
      </c>
      <c r="H30" s="24">
        <f t="shared" si="0"/>
        <v>0</v>
      </c>
      <c r="I30" s="25"/>
      <c r="J30" s="25"/>
      <c r="K30" s="2"/>
      <c r="L30" s="1"/>
      <c r="M30" s="113"/>
      <c r="N30" s="113"/>
    </row>
    <row r="31" spans="2:14" ht="108.75" customHeight="1">
      <c r="B31" s="27" t="s">
        <v>102</v>
      </c>
      <c r="C31" s="5" t="s">
        <v>111</v>
      </c>
      <c r="D31" s="20" t="s">
        <v>98</v>
      </c>
      <c r="E31" s="6">
        <v>0.24</v>
      </c>
      <c r="F31" s="22">
        <f t="shared" si="1"/>
        <v>2268.9841048034932</v>
      </c>
      <c r="G31" s="23">
        <f t="shared" ref="G31" si="3">$N$24/$N$25*E31</f>
        <v>2268.9841048034932</v>
      </c>
      <c r="H31" s="24">
        <f t="shared" si="0"/>
        <v>0</v>
      </c>
      <c r="I31" s="25"/>
      <c r="J31" s="25"/>
    </row>
    <row r="32" spans="2:14" ht="56.25">
      <c r="B32" s="28" t="s">
        <v>103</v>
      </c>
      <c r="C32" s="5" t="s">
        <v>111</v>
      </c>
      <c r="D32" s="20" t="s">
        <v>98</v>
      </c>
      <c r="E32" s="6">
        <v>3.36</v>
      </c>
      <c r="F32" s="22">
        <v>35922.78</v>
      </c>
      <c r="G32" s="4">
        <v>28937</v>
      </c>
      <c r="H32" s="24">
        <f>F32-G32</f>
        <v>6985.7799999999988</v>
      </c>
      <c r="I32" s="25"/>
      <c r="J32" s="25"/>
      <c r="L32" s="10"/>
    </row>
    <row r="33" spans="2:14" ht="16.5" thickBot="1">
      <c r="B33" s="31" t="s">
        <v>88</v>
      </c>
      <c r="C33" s="32" t="s">
        <v>101</v>
      </c>
      <c r="D33" s="33" t="s">
        <v>98</v>
      </c>
      <c r="E33" s="34">
        <v>0.83</v>
      </c>
      <c r="F33" s="22">
        <f t="shared" si="1"/>
        <v>7846.9033624454132</v>
      </c>
      <c r="G33" s="23">
        <f t="shared" ref="G33" si="4">$N$24/$N$25*E33</f>
        <v>7846.9033624454132</v>
      </c>
      <c r="H33" s="35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17.100000000000001</v>
      </c>
      <c r="F34" s="39">
        <f>SUM(F25:F33)</f>
        <v>165822.12</v>
      </c>
      <c r="G34" s="40">
        <f>SUM(G25:G33)</f>
        <v>158836.33999999997</v>
      </c>
      <c r="H34" s="41">
        <f>SUM(H25:H33)</f>
        <v>6985.7799999999988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1495407.17</v>
      </c>
      <c r="D38" s="150"/>
      <c r="E38" s="153">
        <f>F25+F26+F27+F28+F29+F30+F31+F33+E16</f>
        <v>1121697.57</v>
      </c>
      <c r="F38" s="154"/>
      <c r="G38" s="153">
        <f>F32+G16</f>
        <v>373709.6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1485792.37</v>
      </c>
      <c r="D39" s="152"/>
      <c r="E39" s="151">
        <f>E17+124126.58</f>
        <v>1114269.07</v>
      </c>
      <c r="F39" s="152"/>
      <c r="G39" s="151">
        <f>G17+34326.36</f>
        <v>371523.3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1563427.4161</v>
      </c>
      <c r="D40" s="152"/>
      <c r="E40" s="164">
        <f>G25+G26+G27+G28+G29+G30+G31+G33+E18</f>
        <v>1117133.4161</v>
      </c>
      <c r="F40" s="165"/>
      <c r="G40" s="164">
        <f>G32+G18</f>
        <v>446294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8400</v>
      </c>
      <c r="D41" s="162"/>
      <c r="E41" s="161">
        <f>E19+300</f>
        <v>8400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28.5" customHeight="1" thickBot="1">
      <c r="B42" s="11" t="s">
        <v>136</v>
      </c>
      <c r="C42" s="170">
        <f>E42+G42</f>
        <v>-69235.046099999978</v>
      </c>
      <c r="D42" s="171"/>
      <c r="E42" s="168">
        <f>E39+E41-E40</f>
        <v>5535.6539000000339</v>
      </c>
      <c r="F42" s="169"/>
      <c r="G42" s="168">
        <f>G39-G40</f>
        <v>-74770.700000000012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  <row r="51" spans="2:7">
      <c r="E51" s="137"/>
    </row>
  </sheetData>
  <mergeCells count="61">
    <mergeCell ref="E16:F16"/>
    <mergeCell ref="G16:H16"/>
    <mergeCell ref="E17:F17"/>
    <mergeCell ref="G17:H17"/>
    <mergeCell ref="E20:F20"/>
    <mergeCell ref="G20:H20"/>
    <mergeCell ref="E18:F18"/>
    <mergeCell ref="G18:H18"/>
    <mergeCell ref="E19:F19"/>
    <mergeCell ref="G19:H19"/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E15:F15"/>
    <mergeCell ref="G15:H15"/>
    <mergeCell ref="C20:D20"/>
    <mergeCell ref="C15:D15"/>
    <mergeCell ref="C16:D16"/>
    <mergeCell ref="F50:G50"/>
    <mergeCell ref="B36:H36"/>
    <mergeCell ref="E37:F37"/>
    <mergeCell ref="G37:H37"/>
    <mergeCell ref="E38:F38"/>
    <mergeCell ref="G38:H38"/>
    <mergeCell ref="G39:H39"/>
    <mergeCell ref="E40:F40"/>
    <mergeCell ref="G40:H40"/>
    <mergeCell ref="E42:F42"/>
    <mergeCell ref="G42:H42"/>
    <mergeCell ref="E39:F39"/>
    <mergeCell ref="E41:F41"/>
    <mergeCell ref="F43:G43"/>
    <mergeCell ref="F44:G44"/>
    <mergeCell ref="F45:G45"/>
    <mergeCell ref="C17:D17"/>
    <mergeCell ref="C18:D18"/>
    <mergeCell ref="C19:D19"/>
    <mergeCell ref="C40:D40"/>
    <mergeCell ref="C41:D41"/>
    <mergeCell ref="C47:E47"/>
    <mergeCell ref="C49:E49"/>
    <mergeCell ref="C42:D42"/>
    <mergeCell ref="M22:M23"/>
    <mergeCell ref="N22:N23"/>
    <mergeCell ref="C37:D37"/>
    <mergeCell ref="C38:D38"/>
    <mergeCell ref="C39:D39"/>
    <mergeCell ref="G41:H41"/>
    <mergeCell ref="F49:G49"/>
    <mergeCell ref="F46:G46"/>
    <mergeCell ref="F47:G47"/>
    <mergeCell ref="C43:E43"/>
    <mergeCell ref="C45:E45"/>
  </mergeCells>
  <printOptions horizontalCentered="1"/>
  <pageMargins left="0.19685039370078741" right="0.19685039370078741" top="0.15748031496062992" bottom="0.31496062992125984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51"/>
  <sheetViews>
    <sheetView topLeftCell="A26"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3" customWidth="1"/>
    <col min="2" max="2" width="57" style="3" customWidth="1"/>
    <col min="3" max="3" width="21.28515625" style="141" customWidth="1"/>
    <col min="4" max="4" width="9.42578125" style="142" customWidth="1"/>
    <col min="5" max="5" width="10.140625" style="142" customWidth="1"/>
    <col min="6" max="6" width="10" style="3" customWidth="1"/>
    <col min="7" max="8" width="10.42578125" style="3" customWidth="1"/>
    <col min="9" max="9" width="12.28515625" style="3" customWidth="1"/>
    <col min="10" max="12" width="9.140625" style="3"/>
    <col min="13" max="13" width="15.85546875" style="110" customWidth="1"/>
    <col min="14" max="14" width="17.4257812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4.25" customHeight="1"/>
    <row r="5" spans="2:9">
      <c r="B5" s="3" t="s">
        <v>0</v>
      </c>
      <c r="D5" s="188" t="s">
        <v>23</v>
      </c>
      <c r="E5" s="188"/>
    </row>
    <row r="6" spans="2:9">
      <c r="B6" s="3" t="s">
        <v>1</v>
      </c>
      <c r="D6" s="135">
        <v>1980</v>
      </c>
      <c r="E6" s="135"/>
    </row>
    <row r="7" spans="2:9" hidden="1" outlineLevel="1">
      <c r="B7" s="3" t="s">
        <v>2</v>
      </c>
      <c r="D7" s="135">
        <v>2</v>
      </c>
      <c r="E7" s="135"/>
    </row>
    <row r="8" spans="2:9" hidden="1" outlineLevel="1">
      <c r="B8" s="3" t="s">
        <v>3</v>
      </c>
      <c r="D8" s="135">
        <v>17</v>
      </c>
      <c r="E8" s="135"/>
    </row>
    <row r="9" spans="2:9" ht="30.75" hidden="1" customHeight="1" outlineLevel="1">
      <c r="B9" s="13" t="s">
        <v>4</v>
      </c>
      <c r="C9" s="14"/>
      <c r="D9" s="135" t="s">
        <v>24</v>
      </c>
      <c r="E9" s="135"/>
    </row>
    <row r="10" spans="2:9" collapsed="1">
      <c r="B10" s="3" t="s">
        <v>5</v>
      </c>
      <c r="D10" s="135" t="s">
        <v>77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14"/>
      <c r="D12" s="109" t="s">
        <v>25</v>
      </c>
      <c r="E12" s="135"/>
      <c r="I12" s="10"/>
    </row>
    <row r="13" spans="2:9" ht="10.5" customHeight="1" collapsed="1">
      <c r="B13" s="13"/>
      <c r="C13" s="14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1.2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1217087.5400000003</v>
      </c>
      <c r="D16" s="150"/>
      <c r="E16" s="149">
        <v>985321.94000000018</v>
      </c>
      <c r="F16" s="150"/>
      <c r="G16" s="149">
        <v>231765.6</v>
      </c>
      <c r="H16" s="193"/>
      <c r="I16" s="10"/>
    </row>
    <row r="17" spans="2:14">
      <c r="B17" s="47" t="s">
        <v>13</v>
      </c>
      <c r="C17" s="151">
        <v>1167151.1200000001</v>
      </c>
      <c r="D17" s="152"/>
      <c r="E17" s="151">
        <v>945801.76</v>
      </c>
      <c r="F17" s="152"/>
      <c r="G17" s="151">
        <v>221349.36</v>
      </c>
      <c r="H17" s="160"/>
      <c r="I17" s="10"/>
    </row>
    <row r="18" spans="2:14">
      <c r="B18" s="49" t="s">
        <v>78</v>
      </c>
      <c r="C18" s="151">
        <v>1130453.0171000001</v>
      </c>
      <c r="D18" s="152"/>
      <c r="E18" s="151">
        <v>979679.01710000006</v>
      </c>
      <c r="F18" s="152"/>
      <c r="G18" s="151">
        <v>150774</v>
      </c>
      <c r="H18" s="160"/>
      <c r="I18" s="10"/>
    </row>
    <row r="19" spans="2:14" ht="16.5" thickBot="1">
      <c r="B19" s="59" t="s">
        <v>134</v>
      </c>
      <c r="C19" s="161">
        <v>8100</v>
      </c>
      <c r="D19" s="162"/>
      <c r="E19" s="161">
        <v>8100</v>
      </c>
      <c r="F19" s="162"/>
      <c r="G19" s="161">
        <v>0</v>
      </c>
      <c r="H19" s="192"/>
      <c r="I19" s="10"/>
    </row>
    <row r="20" spans="2:14" ht="31.5" customHeight="1" thickBot="1">
      <c r="B20" s="11" t="s">
        <v>135</v>
      </c>
      <c r="C20" s="170">
        <f>E20+G20</f>
        <v>44798.10289999994</v>
      </c>
      <c r="D20" s="171"/>
      <c r="E20" s="168">
        <f>E17+E19-E18</f>
        <v>-25777.257100000046</v>
      </c>
      <c r="F20" s="169"/>
      <c r="G20" s="168">
        <f>G17-G18</f>
        <v>70575.359999999986</v>
      </c>
      <c r="H20" s="172"/>
      <c r="I20" s="10"/>
    </row>
    <row r="21" spans="2:14">
      <c r="B21" s="13"/>
      <c r="C21" s="14"/>
      <c r="D21" s="109"/>
      <c r="E21" s="135"/>
      <c r="I21" s="10"/>
    </row>
    <row r="22" spans="2:14" ht="21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135890.85999999999</v>
      </c>
      <c r="N24" s="111">
        <f>M24</f>
        <v>135890.85999999999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2.2799999999999998</v>
      </c>
      <c r="F25" s="22">
        <f>$M$24/$M$25*E25</f>
        <v>22306.059092872565</v>
      </c>
      <c r="G25" s="23">
        <f>$N$24/$N$25*E25</f>
        <v>22306.059092872565</v>
      </c>
      <c r="H25" s="24">
        <f>F25-G25</f>
        <v>0</v>
      </c>
      <c r="I25" s="25"/>
      <c r="J25" s="25"/>
      <c r="K25" s="138"/>
      <c r="L25" s="26"/>
      <c r="M25" s="112">
        <f>E34-E32</f>
        <v>13.89</v>
      </c>
      <c r="N25" s="112">
        <f>E34-E32</f>
        <v>13.89</v>
      </c>
    </row>
    <row r="26" spans="2:14" ht="56.25">
      <c r="B26" s="27" t="s">
        <v>90</v>
      </c>
      <c r="C26" s="5" t="s">
        <v>111</v>
      </c>
      <c r="D26" s="20" t="s">
        <v>98</v>
      </c>
      <c r="E26" s="6">
        <v>2.98</v>
      </c>
      <c r="F26" s="22">
        <f>$M$24/$M$25*E26</f>
        <v>29154.410568754494</v>
      </c>
      <c r="G26" s="23">
        <f>$N$24/$N$25*E26</f>
        <v>29154.410568754494</v>
      </c>
      <c r="H26" s="24">
        <f t="shared" ref="H26:H31" si="0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ref="F27:F31" si="1">$M$24/$M$25*E27</f>
        <v>3130.674960403167</v>
      </c>
      <c r="G27" s="23">
        <f t="shared" ref="G27:G30" si="2">$N$24/$N$25*E27</f>
        <v>3130.674960403167</v>
      </c>
      <c r="H27" s="24">
        <f t="shared" si="0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</v>
      </c>
      <c r="F28" s="22">
        <f t="shared" si="1"/>
        <v>0</v>
      </c>
      <c r="G28" s="23">
        <f t="shared" si="2"/>
        <v>0</v>
      </c>
      <c r="H28" s="24">
        <f t="shared" si="0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1.48</v>
      </c>
      <c r="F29" s="22">
        <f t="shared" si="1"/>
        <v>14479.371691864648</v>
      </c>
      <c r="G29" s="23">
        <f t="shared" si="2"/>
        <v>14479.371691864648</v>
      </c>
      <c r="H29" s="24">
        <f t="shared" si="0"/>
        <v>0</v>
      </c>
      <c r="I29" s="25"/>
      <c r="J29" s="25"/>
    </row>
    <row r="30" spans="2:14" ht="227.25" customHeight="1">
      <c r="B30" s="27" t="s">
        <v>109</v>
      </c>
      <c r="C30" s="30" t="s">
        <v>101</v>
      </c>
      <c r="D30" s="20" t="s">
        <v>98</v>
      </c>
      <c r="E30" s="6">
        <v>5.61</v>
      </c>
      <c r="F30" s="22">
        <f t="shared" si="1"/>
        <v>54884.645399568028</v>
      </c>
      <c r="G30" s="23">
        <f t="shared" si="2"/>
        <v>54884.645399568028</v>
      </c>
      <c r="H30" s="24">
        <f t="shared" si="0"/>
        <v>0</v>
      </c>
      <c r="I30" s="25"/>
      <c r="J30" s="25"/>
      <c r="K30" s="2"/>
      <c r="L30" s="1"/>
      <c r="M30" s="113"/>
      <c r="N30" s="113"/>
    </row>
    <row r="31" spans="2:14" ht="129" customHeight="1">
      <c r="B31" s="27" t="s">
        <v>102</v>
      </c>
      <c r="C31" s="5" t="s">
        <v>111</v>
      </c>
      <c r="D31" s="20" t="s">
        <v>98</v>
      </c>
      <c r="E31" s="6">
        <v>0.24</v>
      </c>
      <c r="F31" s="22">
        <f t="shared" si="1"/>
        <v>2348.0062203023754</v>
      </c>
      <c r="G31" s="23">
        <f t="shared" ref="G31" si="3">$N$24/$N$25*E31</f>
        <v>2348.0062203023754</v>
      </c>
      <c r="H31" s="24">
        <f t="shared" si="0"/>
        <v>0</v>
      </c>
      <c r="I31" s="25"/>
      <c r="J31" s="25"/>
    </row>
    <row r="32" spans="2:14" ht="56.25">
      <c r="B32" s="28" t="s">
        <v>103</v>
      </c>
      <c r="C32" s="5" t="s">
        <v>111</v>
      </c>
      <c r="D32" s="20" t="s">
        <v>98</v>
      </c>
      <c r="E32" s="6">
        <v>2.21</v>
      </c>
      <c r="F32" s="22">
        <v>24219.26</v>
      </c>
      <c r="G32" s="4">
        <v>32051</v>
      </c>
      <c r="H32" s="24">
        <f>F32-G32</f>
        <v>-7831.7400000000016</v>
      </c>
      <c r="I32" s="25"/>
      <c r="J32" s="25"/>
      <c r="L32" s="10"/>
    </row>
    <row r="33" spans="2:14" ht="16.5" thickBot="1">
      <c r="B33" s="31" t="s">
        <v>88</v>
      </c>
      <c r="C33" s="32" t="s">
        <v>101</v>
      </c>
      <c r="D33" s="33" t="s">
        <v>98</v>
      </c>
      <c r="E33" s="34">
        <v>0.98</v>
      </c>
      <c r="F33" s="22">
        <f>$M$24/$M$25*E33</f>
        <v>9587.6920662346984</v>
      </c>
      <c r="G33" s="23">
        <f t="shared" ref="G33" si="4">$N$24/$N$25*E33</f>
        <v>9587.6920662346984</v>
      </c>
      <c r="H33" s="35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16.100000000000001</v>
      </c>
      <c r="F34" s="39">
        <f>SUM(F25:F33)</f>
        <v>160110.12</v>
      </c>
      <c r="G34" s="40">
        <f>SUM(G25:G33)</f>
        <v>167941.86</v>
      </c>
      <c r="H34" s="41">
        <f>SUM(H25:H33)</f>
        <v>-7831.7400000000016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1377197.6600000004</v>
      </c>
      <c r="D38" s="150"/>
      <c r="E38" s="153">
        <f>F25+F26+F27+F28+F29+F30+F31+F33+E16</f>
        <v>1121212.8000000003</v>
      </c>
      <c r="F38" s="154"/>
      <c r="G38" s="153">
        <f>F32+G16</f>
        <v>255984.86000000002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1319586.5799999998</v>
      </c>
      <c r="D39" s="152"/>
      <c r="E39" s="151">
        <f>E17+129377.12</f>
        <v>1075178.8799999999</v>
      </c>
      <c r="F39" s="152"/>
      <c r="G39" s="151">
        <f>G17+23058.34</f>
        <v>244407.69999999998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1298394.8771000002</v>
      </c>
      <c r="D40" s="152"/>
      <c r="E40" s="164">
        <f>G25+G26+G27+G28+G29+G30+G31+G33+E18</f>
        <v>1115569.8771000002</v>
      </c>
      <c r="F40" s="165"/>
      <c r="G40" s="164">
        <f>G32+G18</f>
        <v>182825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8400</v>
      </c>
      <c r="D41" s="162"/>
      <c r="E41" s="161">
        <f>E19+300</f>
        <v>8400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25.5" thickBot="1">
      <c r="B42" s="11" t="s">
        <v>136</v>
      </c>
      <c r="C42" s="170">
        <f>E42+G42</f>
        <v>29591.702899999713</v>
      </c>
      <c r="D42" s="171"/>
      <c r="E42" s="168">
        <f>E39+E41-E40</f>
        <v>-31990.99710000027</v>
      </c>
      <c r="F42" s="169"/>
      <c r="G42" s="168">
        <f>G39-G40</f>
        <v>61582.699999999983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  <row r="51" spans="2:7">
      <c r="E51" s="137"/>
    </row>
  </sheetData>
  <mergeCells count="61">
    <mergeCell ref="C20:D20"/>
    <mergeCell ref="G17:H17"/>
    <mergeCell ref="E20:F20"/>
    <mergeCell ref="G20:H20"/>
    <mergeCell ref="E18:F18"/>
    <mergeCell ref="G18:H18"/>
    <mergeCell ref="E19:F19"/>
    <mergeCell ref="G19:H19"/>
    <mergeCell ref="F49:G49"/>
    <mergeCell ref="F50:G50"/>
    <mergeCell ref="F45:G45"/>
    <mergeCell ref="F46:G46"/>
    <mergeCell ref="F47:G47"/>
    <mergeCell ref="C41:D41"/>
    <mergeCell ref="C42:D42"/>
    <mergeCell ref="E40:F40"/>
    <mergeCell ref="G40:H40"/>
    <mergeCell ref="C43:E43"/>
    <mergeCell ref="F43:G43"/>
    <mergeCell ref="F44:G44"/>
    <mergeCell ref="E42:F42"/>
    <mergeCell ref="E41:F41"/>
    <mergeCell ref="G41:H41"/>
    <mergeCell ref="G42:H42"/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E15:F15"/>
    <mergeCell ref="G15:H15"/>
    <mergeCell ref="E16:F16"/>
    <mergeCell ref="G16:H16"/>
    <mergeCell ref="E17:F17"/>
    <mergeCell ref="C15:D15"/>
    <mergeCell ref="C16:D16"/>
    <mergeCell ref="C17:D17"/>
    <mergeCell ref="C18:D18"/>
    <mergeCell ref="C19:D19"/>
    <mergeCell ref="C45:E45"/>
    <mergeCell ref="C47:E47"/>
    <mergeCell ref="C49:E49"/>
    <mergeCell ref="M22:M23"/>
    <mergeCell ref="N22:N23"/>
    <mergeCell ref="C37:D37"/>
    <mergeCell ref="C38:D38"/>
    <mergeCell ref="C39:D39"/>
    <mergeCell ref="B36:H36"/>
    <mergeCell ref="E37:F37"/>
    <mergeCell ref="G37:H37"/>
    <mergeCell ref="E38:F38"/>
    <mergeCell ref="G38:H38"/>
    <mergeCell ref="E39:F39"/>
    <mergeCell ref="G39:H39"/>
    <mergeCell ref="C40:D40"/>
  </mergeCells>
  <printOptions horizontalCentered="1"/>
  <pageMargins left="0.19685039370078741" right="0.23622047244094491" top="0.19685039370078741" bottom="0.23622047244094491" header="0.31496062992125984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N49"/>
  <sheetViews>
    <sheetView topLeftCell="A31" zoomScale="110" zoomScaleNormal="110" workbookViewId="0">
      <selection activeCell="E33" sqref="E33"/>
    </sheetView>
  </sheetViews>
  <sheetFormatPr defaultColWidth="9.140625" defaultRowHeight="15.75" outlineLevelRow="1"/>
  <cols>
    <col min="1" max="1" width="2.85546875" style="3" customWidth="1"/>
    <col min="2" max="2" width="55.42578125" style="3" customWidth="1"/>
    <col min="3" max="3" width="23.5703125" style="56" customWidth="1"/>
    <col min="4" max="4" width="8.28515625" style="142" customWidth="1"/>
    <col min="5" max="5" width="10.28515625" style="142" customWidth="1"/>
    <col min="6" max="6" width="9.5703125" style="3" customWidth="1"/>
    <col min="7" max="7" width="10.28515625" style="3" customWidth="1"/>
    <col min="8" max="8" width="10.7109375" style="3" customWidth="1"/>
    <col min="9" max="9" width="12.28515625" style="3" customWidth="1"/>
    <col min="10" max="12" width="9.140625" style="3"/>
    <col min="13" max="13" width="13.7109375" style="110" customWidth="1"/>
    <col min="14" max="14" width="15.5703125" style="110" customWidth="1"/>
    <col min="15" max="16384" width="9.140625" style="3"/>
  </cols>
  <sheetData>
    <row r="1" spans="2:9">
      <c r="B1" s="175" t="s">
        <v>106</v>
      </c>
      <c r="C1" s="175"/>
      <c r="D1" s="175"/>
      <c r="E1" s="175"/>
      <c r="F1" s="175"/>
      <c r="G1" s="175"/>
      <c r="H1" s="175"/>
    </row>
    <row r="2" spans="2:9" ht="19.5" customHeight="1">
      <c r="B2" s="176" t="s">
        <v>156</v>
      </c>
      <c r="C2" s="176"/>
      <c r="D2" s="176"/>
      <c r="E2" s="176"/>
      <c r="F2" s="176"/>
      <c r="G2" s="176"/>
      <c r="H2" s="176"/>
    </row>
    <row r="3" spans="2:9" ht="20.25" customHeight="1">
      <c r="B3" s="176"/>
      <c r="C3" s="176"/>
      <c r="D3" s="176"/>
      <c r="E3" s="176"/>
      <c r="F3" s="176"/>
      <c r="G3" s="176"/>
      <c r="H3" s="176"/>
    </row>
    <row r="4" spans="2:9" ht="13.5" customHeight="1"/>
    <row r="5" spans="2:9">
      <c r="B5" s="3" t="s">
        <v>0</v>
      </c>
      <c r="D5" s="188" t="s">
        <v>26</v>
      </c>
      <c r="E5" s="188"/>
    </row>
    <row r="6" spans="2:9">
      <c r="B6" s="3" t="s">
        <v>1</v>
      </c>
      <c r="D6" s="135">
        <v>1990</v>
      </c>
      <c r="E6" s="135"/>
    </row>
    <row r="7" spans="2:9" hidden="1" outlineLevel="1">
      <c r="B7" s="3" t="s">
        <v>2</v>
      </c>
      <c r="D7" s="135">
        <v>3</v>
      </c>
      <c r="E7" s="135"/>
    </row>
    <row r="8" spans="2:9" hidden="1" outlineLevel="1">
      <c r="B8" s="3" t="s">
        <v>3</v>
      </c>
      <c r="D8" s="135">
        <v>25</v>
      </c>
      <c r="E8" s="135"/>
    </row>
    <row r="9" spans="2:9" ht="30.75" hidden="1" customHeight="1" outlineLevel="1">
      <c r="B9" s="13" t="s">
        <v>4</v>
      </c>
      <c r="C9" s="57"/>
      <c r="D9" s="135" t="s">
        <v>27</v>
      </c>
      <c r="E9" s="135"/>
    </row>
    <row r="10" spans="2:9" collapsed="1">
      <c r="B10" s="3" t="s">
        <v>5</v>
      </c>
      <c r="D10" s="135" t="s">
        <v>117</v>
      </c>
      <c r="E10" s="135"/>
      <c r="I10" s="10"/>
    </row>
    <row r="11" spans="2:9" hidden="1" outlineLevel="1">
      <c r="B11" s="3" t="s">
        <v>6</v>
      </c>
      <c r="D11" s="135" t="s">
        <v>7</v>
      </c>
      <c r="E11" s="135"/>
    </row>
    <row r="12" spans="2:9" ht="30.75" hidden="1" customHeight="1" outlineLevel="1">
      <c r="B12" s="13" t="s">
        <v>8</v>
      </c>
      <c r="C12" s="57"/>
      <c r="D12" s="109" t="s">
        <v>28</v>
      </c>
      <c r="E12" s="135"/>
      <c r="I12" s="10"/>
    </row>
    <row r="13" spans="2:9" collapsed="1">
      <c r="B13" s="13"/>
      <c r="C13" s="57"/>
      <c r="D13" s="109"/>
      <c r="E13" s="135"/>
      <c r="I13" s="10"/>
    </row>
    <row r="14" spans="2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2:9" ht="45.7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2:9">
      <c r="B16" s="95" t="s">
        <v>12</v>
      </c>
      <c r="C16" s="149">
        <v>2530131.8632368604</v>
      </c>
      <c r="D16" s="191"/>
      <c r="E16" s="153">
        <v>1742606.3432368604</v>
      </c>
      <c r="F16" s="154"/>
      <c r="G16" s="153">
        <v>787525.52</v>
      </c>
      <c r="H16" s="159"/>
      <c r="I16" s="10"/>
    </row>
    <row r="17" spans="2:14">
      <c r="B17" s="47" t="s">
        <v>13</v>
      </c>
      <c r="C17" s="151">
        <v>2248173.14</v>
      </c>
      <c r="D17" s="189"/>
      <c r="E17" s="151">
        <v>1555888.5</v>
      </c>
      <c r="F17" s="152"/>
      <c r="G17" s="151">
        <f>692284.64+221.49</f>
        <v>692506.13</v>
      </c>
      <c r="H17" s="160"/>
      <c r="I17" s="10"/>
    </row>
    <row r="18" spans="2:14" ht="16.5" thickBot="1">
      <c r="B18" s="49" t="s">
        <v>78</v>
      </c>
      <c r="C18" s="161">
        <v>2311756.8085767538</v>
      </c>
      <c r="D18" s="190"/>
      <c r="E18" s="164">
        <v>1733598.8085767538</v>
      </c>
      <c r="F18" s="165"/>
      <c r="G18" s="164">
        <v>578158</v>
      </c>
      <c r="H18" s="166"/>
      <c r="I18" s="10"/>
    </row>
    <row r="19" spans="2:14" ht="36.75" thickBot="1">
      <c r="B19" s="11" t="s">
        <v>135</v>
      </c>
      <c r="C19" s="170">
        <f>E19+G19</f>
        <v>-63362.178576753824</v>
      </c>
      <c r="D19" s="171"/>
      <c r="E19" s="168">
        <f>E17-E18</f>
        <v>-177710.30857675383</v>
      </c>
      <c r="F19" s="169"/>
      <c r="G19" s="168">
        <f>G17-G18</f>
        <v>114348.13</v>
      </c>
      <c r="H19" s="172"/>
      <c r="I19" s="10"/>
    </row>
    <row r="20" spans="2:14">
      <c r="B20" s="13"/>
      <c r="C20" s="57"/>
      <c r="D20" s="109"/>
      <c r="E20" s="135"/>
      <c r="I20" s="10"/>
    </row>
    <row r="21" spans="2:14" ht="24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232253.78</v>
      </c>
      <c r="N23" s="111">
        <f>M23</f>
        <v>232253.78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39755.151531531512</v>
      </c>
      <c r="G24" s="23">
        <f>$N$23/$N$24*E24</f>
        <v>39755.151531531512</v>
      </c>
      <c r="H24" s="24">
        <f>F24-G24</f>
        <v>0</v>
      </c>
      <c r="I24" s="25"/>
      <c r="J24" s="25"/>
      <c r="K24" s="138"/>
      <c r="L24" s="26"/>
      <c r="M24" s="112">
        <f>E33-E31</f>
        <v>13.320000000000004</v>
      </c>
      <c r="N24" s="112">
        <f>E33-E31</f>
        <v>13.320000000000004</v>
      </c>
    </row>
    <row r="25" spans="2:14" ht="51">
      <c r="B25" s="27" t="s">
        <v>90</v>
      </c>
      <c r="C25" s="5" t="s">
        <v>111</v>
      </c>
      <c r="D25" s="20" t="s">
        <v>98</v>
      </c>
      <c r="E25" s="6">
        <v>2.98</v>
      </c>
      <c r="F25" s="22">
        <f>$M$23/$M$24*E25</f>
        <v>51960.680510510487</v>
      </c>
      <c r="G25" s="23">
        <f>$N$23/$N$24*E25</f>
        <v>51960.680510510487</v>
      </c>
      <c r="H25" s="24">
        <f t="shared" ref="H25:H30" si="0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ref="F26:F32" si="1">$M$23/$M$24*E26</f>
        <v>5579.6703903903881</v>
      </c>
      <c r="G26" s="23">
        <f t="shared" ref="G26:G29" si="2">$N$23/$N$24*E26</f>
        <v>5579.6703903903881</v>
      </c>
      <c r="H26" s="24">
        <f t="shared" si="0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</v>
      </c>
      <c r="F27" s="22">
        <f>($M$23/12*2)/$M$24*E27</f>
        <v>0</v>
      </c>
      <c r="G27" s="23">
        <f>($N$23/12*2)/$N$24*E27</f>
        <v>0</v>
      </c>
      <c r="H27" s="24">
        <f t="shared" si="0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1.18</v>
      </c>
      <c r="F28" s="22">
        <f t="shared" si="1"/>
        <v>20575.034564564554</v>
      </c>
      <c r="G28" s="23">
        <f t="shared" si="2"/>
        <v>20575.034564564554</v>
      </c>
      <c r="H28" s="24">
        <f t="shared" si="0"/>
        <v>0</v>
      </c>
      <c r="I28" s="25"/>
      <c r="J28" s="25"/>
    </row>
    <row r="29" spans="2:14" ht="228" customHeight="1">
      <c r="B29" s="27" t="s">
        <v>109</v>
      </c>
      <c r="C29" s="30" t="s">
        <v>101</v>
      </c>
      <c r="D29" s="20" t="s">
        <v>98</v>
      </c>
      <c r="E29" s="6">
        <v>5.61</v>
      </c>
      <c r="F29" s="22">
        <f t="shared" si="1"/>
        <v>97818.596531531497</v>
      </c>
      <c r="G29" s="23">
        <f t="shared" si="2"/>
        <v>97818.596531531497</v>
      </c>
      <c r="H29" s="24">
        <f t="shared" si="0"/>
        <v>0</v>
      </c>
      <c r="I29" s="25"/>
      <c r="J29" s="25"/>
      <c r="K29" s="2"/>
      <c r="L29" s="1"/>
      <c r="M29" s="113"/>
      <c r="N29" s="113"/>
    </row>
    <row r="30" spans="2:14" ht="108.75" customHeight="1">
      <c r="B30" s="27" t="s">
        <v>102</v>
      </c>
      <c r="C30" s="5" t="s">
        <v>111</v>
      </c>
      <c r="D30" s="20" t="s">
        <v>98</v>
      </c>
      <c r="E30" s="6">
        <v>0.24</v>
      </c>
      <c r="F30" s="22">
        <f t="shared" si="1"/>
        <v>4184.7527927927913</v>
      </c>
      <c r="G30" s="23">
        <f t="shared" ref="G30" si="3">$N$23/$N$24*E30</f>
        <v>4184.7527927927913</v>
      </c>
      <c r="H30" s="24">
        <f t="shared" si="0"/>
        <v>0</v>
      </c>
      <c r="I30" s="25"/>
      <c r="J30" s="25"/>
    </row>
    <row r="31" spans="2:14" ht="51.75" customHeight="1">
      <c r="B31" s="28" t="s">
        <v>103</v>
      </c>
      <c r="C31" s="5" t="s">
        <v>111</v>
      </c>
      <c r="D31" s="20" t="s">
        <v>98</v>
      </c>
      <c r="E31" s="6">
        <v>4.41</v>
      </c>
      <c r="F31" s="22">
        <v>87766.85</v>
      </c>
      <c r="G31" s="4">
        <v>90027</v>
      </c>
      <c r="H31" s="24">
        <f>F31-G31</f>
        <v>-2260.1499999999942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0.71</v>
      </c>
      <c r="F32" s="22">
        <f t="shared" si="1"/>
        <v>12379.893678678673</v>
      </c>
      <c r="G32" s="23">
        <f t="shared" ref="G32" si="4">$N$23/$N$24*E32</f>
        <v>12379.893678678673</v>
      </c>
      <c r="H32" s="35">
        <f>F32-G32</f>
        <v>0</v>
      </c>
      <c r="I32" s="25"/>
      <c r="J32" s="25"/>
    </row>
    <row r="33" spans="2:14" ht="16.5" thickBot="1">
      <c r="B33" s="36" t="s">
        <v>89</v>
      </c>
      <c r="C33" s="37"/>
      <c r="D33" s="37"/>
      <c r="E33" s="38">
        <f>SUM(E24:E32)</f>
        <v>17.730000000000004</v>
      </c>
      <c r="F33" s="39">
        <f>SUM(F24:F32)</f>
        <v>320020.62999999989</v>
      </c>
      <c r="G33" s="40">
        <f>SUM(G24:G32)</f>
        <v>322280.77999999991</v>
      </c>
      <c r="H33" s="41">
        <f>SUM(H24:H32)</f>
        <v>-2260.1499999999942</v>
      </c>
      <c r="I33" s="42"/>
      <c r="J33" s="42"/>
    </row>
    <row r="34" spans="2:14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45"/>
      <c r="L36" s="46"/>
      <c r="M36" s="114"/>
      <c r="N36" s="114"/>
    </row>
    <row r="37" spans="2:14">
      <c r="B37" s="95" t="s">
        <v>12</v>
      </c>
      <c r="C37" s="149">
        <f>E37+G37</f>
        <v>2850152.4932368603</v>
      </c>
      <c r="D37" s="150"/>
      <c r="E37" s="153">
        <f>F24+F25+F26+F27+F28+F29+F30+F32+E16</f>
        <v>1974860.1232368601</v>
      </c>
      <c r="F37" s="154"/>
      <c r="G37" s="153">
        <f>F31+G16</f>
        <v>875292.37</v>
      </c>
      <c r="H37" s="159"/>
      <c r="I37" s="48"/>
      <c r="J37" s="48"/>
      <c r="K37" s="7"/>
      <c r="L37" s="7"/>
      <c r="M37" s="115"/>
    </row>
    <row r="38" spans="2:14">
      <c r="B38" s="47" t="s">
        <v>13</v>
      </c>
      <c r="C38" s="151">
        <f>E38+G38</f>
        <v>2512391.2800000003</v>
      </c>
      <c r="D38" s="152"/>
      <c r="E38" s="151">
        <f>E17+191594.58</f>
        <v>1747483.08</v>
      </c>
      <c r="F38" s="152"/>
      <c r="G38" s="151">
        <f>G17+72402.07</f>
        <v>764908.2</v>
      </c>
      <c r="H38" s="160"/>
      <c r="I38" s="48"/>
      <c r="J38" s="48"/>
      <c r="K38" s="9"/>
      <c r="L38" s="7"/>
      <c r="M38" s="115"/>
    </row>
    <row r="39" spans="2:14" ht="16.5" thickBot="1">
      <c r="B39" s="49" t="s">
        <v>78</v>
      </c>
      <c r="C39" s="161">
        <f>E39+G39</f>
        <v>2634037.5885767536</v>
      </c>
      <c r="D39" s="162"/>
      <c r="E39" s="164">
        <f>G24+G25+G26+G27+G28+G29+G30+G32+E18</f>
        <v>1965852.5885767536</v>
      </c>
      <c r="F39" s="165"/>
      <c r="G39" s="164">
        <f>G31+G18</f>
        <v>668185</v>
      </c>
      <c r="H39" s="166"/>
      <c r="I39" s="48"/>
      <c r="J39" s="48"/>
      <c r="K39" s="50"/>
      <c r="L39" s="50"/>
    </row>
    <row r="40" spans="2:14" ht="36.75" thickBot="1">
      <c r="B40" s="11" t="s">
        <v>136</v>
      </c>
      <c r="C40" s="170">
        <f>E40+G40</f>
        <v>-121646.3085767536</v>
      </c>
      <c r="D40" s="171"/>
      <c r="E40" s="168">
        <f>E38-E39</f>
        <v>-218369.50857675355</v>
      </c>
      <c r="F40" s="169"/>
      <c r="G40" s="168">
        <f>G38-G39</f>
        <v>96723.199999999953</v>
      </c>
      <c r="H40" s="172"/>
      <c r="I40" s="48"/>
      <c r="J40" s="48"/>
      <c r="K40" s="50"/>
      <c r="L40" s="50"/>
    </row>
    <row r="41" spans="2:14" ht="34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2"/>
      <c r="L41" s="2"/>
      <c r="M41" s="113"/>
      <c r="N41" s="113"/>
    </row>
    <row r="42" spans="2:14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2"/>
      <c r="L43" s="2"/>
      <c r="M43" s="113"/>
      <c r="N43" s="113"/>
    </row>
    <row r="44" spans="2:14" ht="9.75" customHeight="1">
      <c r="B44" s="132"/>
      <c r="C44" s="132"/>
      <c r="D44" s="132"/>
      <c r="E44" s="133"/>
      <c r="F44" s="167"/>
      <c r="G44" s="167"/>
      <c r="H44" s="132"/>
      <c r="I44" s="132"/>
      <c r="J44" s="132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4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4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4" ht="9" customHeight="1">
      <c r="B48" s="55"/>
      <c r="C48" s="55"/>
      <c r="D48" s="55"/>
      <c r="E48" s="133"/>
      <c r="F48" s="173"/>
      <c r="G48" s="173"/>
    </row>
    <row r="49" spans="3:5">
      <c r="C49" s="141"/>
      <c r="E49" s="137"/>
    </row>
  </sheetData>
  <mergeCells count="55">
    <mergeCell ref="F48:G48"/>
    <mergeCell ref="F43:G43"/>
    <mergeCell ref="F44:G44"/>
    <mergeCell ref="F45:G45"/>
    <mergeCell ref="E16:F16"/>
    <mergeCell ref="G16:H16"/>
    <mergeCell ref="E17:F17"/>
    <mergeCell ref="G17:H17"/>
    <mergeCell ref="E18:F18"/>
    <mergeCell ref="G18:H18"/>
    <mergeCell ref="E19:F19"/>
    <mergeCell ref="G19:H19"/>
    <mergeCell ref="G40:H40"/>
    <mergeCell ref="F41:G41"/>
    <mergeCell ref="F42:G42"/>
    <mergeCell ref="E40:F40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B14:H14"/>
    <mergeCell ref="E15:F15"/>
    <mergeCell ref="G15:H15"/>
    <mergeCell ref="C15:D15"/>
    <mergeCell ref="C16:D16"/>
    <mergeCell ref="C17:D17"/>
    <mergeCell ref="C18:D18"/>
    <mergeCell ref="C19:D19"/>
    <mergeCell ref="C40:D40"/>
    <mergeCell ref="M21:M22"/>
    <mergeCell ref="E39:F39"/>
    <mergeCell ref="G39:H39"/>
    <mergeCell ref="C39:D39"/>
    <mergeCell ref="C41:E41"/>
    <mergeCell ref="C43:E43"/>
    <mergeCell ref="C45:E45"/>
    <mergeCell ref="C47:E47"/>
    <mergeCell ref="N21:N22"/>
    <mergeCell ref="C36:D36"/>
    <mergeCell ref="C37:D37"/>
    <mergeCell ref="C38:D38"/>
    <mergeCell ref="B35:H35"/>
    <mergeCell ref="E36:F36"/>
    <mergeCell ref="G36:H36"/>
    <mergeCell ref="E37:F37"/>
    <mergeCell ref="G37:H37"/>
    <mergeCell ref="E38:F38"/>
    <mergeCell ref="G38:H38"/>
    <mergeCell ref="F47:G47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8"/>
  <sheetViews>
    <sheetView topLeftCell="B30" zoomScale="110" zoomScaleNormal="110" workbookViewId="0">
      <selection activeCell="B35" sqref="B35:H35"/>
    </sheetView>
  </sheetViews>
  <sheetFormatPr defaultColWidth="9.140625" defaultRowHeight="15.75" outlineLevelRow="1"/>
  <cols>
    <col min="1" max="1" width="2.85546875" style="3" customWidth="1"/>
    <col min="2" max="2" width="56" style="3" customWidth="1"/>
    <col min="3" max="3" width="23.28515625" style="56" customWidth="1"/>
    <col min="4" max="4" width="9.140625" style="142" customWidth="1"/>
    <col min="5" max="5" width="9.42578125" style="142" customWidth="1"/>
    <col min="6" max="6" width="9.85546875" style="3" customWidth="1"/>
    <col min="7" max="7" width="10.28515625" style="3" customWidth="1"/>
    <col min="8" max="8" width="10.5703125" style="3" customWidth="1"/>
    <col min="9" max="9" width="12.28515625" style="3" customWidth="1"/>
    <col min="10" max="12" width="9.140625" style="3"/>
    <col min="13" max="13" width="14" style="110" customWidth="1"/>
    <col min="14" max="14" width="14.710937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6.5" customHeight="1"/>
    <row r="5" spans="1:9">
      <c r="B5" s="3" t="s">
        <v>0</v>
      </c>
      <c r="D5" s="188" t="s">
        <v>29</v>
      </c>
      <c r="E5" s="188"/>
    </row>
    <row r="6" spans="1:9">
      <c r="B6" s="3" t="s">
        <v>1</v>
      </c>
      <c r="D6" s="135">
        <v>1992</v>
      </c>
      <c r="E6" s="135"/>
    </row>
    <row r="7" spans="1:9" hidden="1" outlineLevel="1">
      <c r="B7" s="3" t="s">
        <v>2</v>
      </c>
      <c r="D7" s="135">
        <v>3</v>
      </c>
      <c r="E7" s="135"/>
    </row>
    <row r="8" spans="1:9" hidden="1" outlineLevel="1">
      <c r="B8" s="3" t="s">
        <v>3</v>
      </c>
      <c r="D8" s="135">
        <v>23</v>
      </c>
      <c r="E8" s="135"/>
    </row>
    <row r="9" spans="1:9" ht="30.75" hidden="1" customHeight="1" outlineLevel="1">
      <c r="B9" s="13" t="s">
        <v>4</v>
      </c>
      <c r="C9" s="57"/>
      <c r="D9" s="135" t="s">
        <v>30</v>
      </c>
      <c r="E9" s="135"/>
    </row>
    <row r="10" spans="1:9" collapsed="1">
      <c r="B10" s="3" t="s">
        <v>5</v>
      </c>
      <c r="D10" s="135" t="s">
        <v>118</v>
      </c>
      <c r="E10" s="135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57"/>
      <c r="D12" s="109" t="s">
        <v>31</v>
      </c>
      <c r="E12" s="135"/>
      <c r="I12" s="10"/>
    </row>
    <row r="13" spans="1:9" ht="12" customHeight="1" collapsed="1">
      <c r="B13" s="13"/>
      <c r="C13" s="57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7.2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2189156.7479457967</v>
      </c>
      <c r="D16" s="191"/>
      <c r="E16" s="153">
        <v>1495374.6679457966</v>
      </c>
      <c r="F16" s="154"/>
      <c r="G16" s="153">
        <f>693782.08+79882.94</f>
        <v>773665.02</v>
      </c>
      <c r="H16" s="159"/>
      <c r="I16" s="10"/>
    </row>
    <row r="17" spans="2:14">
      <c r="B17" s="47" t="s">
        <v>13</v>
      </c>
      <c r="C17" s="151">
        <v>2111600.66</v>
      </c>
      <c r="D17" s="189"/>
      <c r="E17" s="151">
        <v>1448771.1400000001</v>
      </c>
      <c r="F17" s="152"/>
      <c r="G17" s="151">
        <f>662829.52+71806.61</f>
        <v>734636.13</v>
      </c>
      <c r="H17" s="160"/>
      <c r="I17" s="10"/>
    </row>
    <row r="18" spans="2:14" ht="16.5" thickBot="1">
      <c r="B18" s="49" t="s">
        <v>78</v>
      </c>
      <c r="C18" s="161">
        <v>2046607.5455402359</v>
      </c>
      <c r="D18" s="190"/>
      <c r="E18" s="164">
        <v>1498087.5455402359</v>
      </c>
      <c r="F18" s="165"/>
      <c r="G18" s="164">
        <f>548520+34128</f>
        <v>582648</v>
      </c>
      <c r="H18" s="166"/>
      <c r="I18" s="10"/>
    </row>
    <row r="19" spans="2:14" ht="33" customHeight="1" thickBot="1">
      <c r="B19" s="11" t="s">
        <v>135</v>
      </c>
      <c r="C19" s="170">
        <f>E19+G19</f>
        <v>102671.7244597642</v>
      </c>
      <c r="D19" s="171"/>
      <c r="E19" s="168">
        <f>E17-E18</f>
        <v>-49316.405540235806</v>
      </c>
      <c r="F19" s="169"/>
      <c r="G19" s="168">
        <f>G17-G18</f>
        <v>151988.13</v>
      </c>
      <c r="H19" s="172"/>
      <c r="I19" s="10"/>
    </row>
    <row r="20" spans="2:14">
      <c r="B20" s="13"/>
      <c r="C20" s="57"/>
      <c r="D20" s="109"/>
      <c r="E20" s="135"/>
      <c r="I20" s="10"/>
    </row>
    <row r="21" spans="2:14" ht="31.5" customHeight="1" thickBot="1">
      <c r="B21" s="177" t="s">
        <v>152</v>
      </c>
      <c r="C21" s="177"/>
      <c r="D21" s="177"/>
      <c r="E21" s="177"/>
      <c r="F21" s="177"/>
      <c r="G21" s="177"/>
      <c r="H21" s="177"/>
      <c r="I21" s="15"/>
      <c r="J21" s="15"/>
      <c r="L21" s="10"/>
      <c r="M21" s="145" t="s">
        <v>137</v>
      </c>
      <c r="N21" s="145" t="s">
        <v>138</v>
      </c>
    </row>
    <row r="22" spans="2:14" ht="27.75" customHeight="1">
      <c r="B22" s="178" t="s">
        <v>92</v>
      </c>
      <c r="C22" s="180" t="s">
        <v>93</v>
      </c>
      <c r="D22" s="180" t="s">
        <v>94</v>
      </c>
      <c r="E22" s="182" t="s">
        <v>153</v>
      </c>
      <c r="F22" s="184" t="s">
        <v>95</v>
      </c>
      <c r="G22" s="185"/>
      <c r="H22" s="186" t="s">
        <v>113</v>
      </c>
      <c r="I22" s="16"/>
      <c r="J22" s="16"/>
      <c r="L22" s="10"/>
      <c r="M22" s="146"/>
      <c r="N22" s="146"/>
    </row>
    <row r="23" spans="2:14" ht="45" customHeight="1" thickBot="1">
      <c r="B23" s="179"/>
      <c r="C23" s="181"/>
      <c r="D23" s="181"/>
      <c r="E23" s="183"/>
      <c r="F23" s="17" t="s">
        <v>83</v>
      </c>
      <c r="G23" s="18" t="s">
        <v>84</v>
      </c>
      <c r="H23" s="187"/>
      <c r="I23" s="16"/>
      <c r="J23" s="16"/>
      <c r="M23" s="111">
        <v>227067.46</v>
      </c>
      <c r="N23" s="111">
        <f>M23</f>
        <v>227067.46</v>
      </c>
    </row>
    <row r="24" spans="2:14" ht="50.25" customHeight="1">
      <c r="B24" s="19" t="s">
        <v>96</v>
      </c>
      <c r="C24" s="5" t="s">
        <v>111</v>
      </c>
      <c r="D24" s="20" t="s">
        <v>98</v>
      </c>
      <c r="E24" s="21">
        <v>2.2799999999999998</v>
      </c>
      <c r="F24" s="22">
        <f>$M$23/$M$24*E24</f>
        <v>38867.403063063051</v>
      </c>
      <c r="G24" s="23">
        <f>$N$23/$N$24*E24</f>
        <v>38867.403063063051</v>
      </c>
      <c r="H24" s="24">
        <f>F24-G24</f>
        <v>0</v>
      </c>
      <c r="I24" s="25"/>
      <c r="J24" s="25"/>
      <c r="K24" s="138"/>
      <c r="L24" s="26"/>
      <c r="M24" s="112">
        <f>E33-E31</f>
        <v>13.320000000000004</v>
      </c>
      <c r="N24" s="112">
        <f>E33-E31</f>
        <v>13.320000000000004</v>
      </c>
    </row>
    <row r="25" spans="2:14" ht="51">
      <c r="B25" s="27" t="s">
        <v>90</v>
      </c>
      <c r="C25" s="5" t="s">
        <v>111</v>
      </c>
      <c r="D25" s="20" t="s">
        <v>98</v>
      </c>
      <c r="E25" s="6">
        <v>2.98</v>
      </c>
      <c r="F25" s="22">
        <f>$M$23/$M$24*E25</f>
        <v>50800.377687687673</v>
      </c>
      <c r="G25" s="23">
        <f>$N$23/$N$24*E25</f>
        <v>50800.377687687673</v>
      </c>
      <c r="H25" s="24">
        <f t="shared" ref="H25:H30" si="0">F25-G25</f>
        <v>0</v>
      </c>
      <c r="I25" s="25"/>
      <c r="J25" s="25"/>
      <c r="K25" s="2"/>
      <c r="L25" s="2"/>
      <c r="M25" s="113"/>
      <c r="N25" s="113"/>
    </row>
    <row r="26" spans="2:14" ht="52.5" customHeight="1">
      <c r="B26" s="28" t="s">
        <v>85</v>
      </c>
      <c r="C26" s="5" t="s">
        <v>111</v>
      </c>
      <c r="D26" s="20" t="s">
        <v>98</v>
      </c>
      <c r="E26" s="6">
        <v>0.32</v>
      </c>
      <c r="F26" s="22">
        <f t="shared" ref="F26:F32" si="1">$M$23/$M$24*E26</f>
        <v>5455.0741141141125</v>
      </c>
      <c r="G26" s="23">
        <f t="shared" ref="G26:G29" si="2">$N$23/$N$24*E26</f>
        <v>5455.0741141141125</v>
      </c>
      <c r="H26" s="24">
        <f t="shared" si="0"/>
        <v>0</v>
      </c>
      <c r="I26" s="25"/>
      <c r="J26" s="25"/>
      <c r="L26" s="10"/>
    </row>
    <row r="27" spans="2:14" ht="25.5">
      <c r="B27" s="28" t="s">
        <v>99</v>
      </c>
      <c r="C27" s="29" t="s">
        <v>100</v>
      </c>
      <c r="D27" s="20" t="s">
        <v>98</v>
      </c>
      <c r="E27" s="6">
        <v>0</v>
      </c>
      <c r="F27" s="22">
        <f>($M$23/12*2)/$M$24*E27</f>
        <v>0</v>
      </c>
      <c r="G27" s="23">
        <f>($N$23/12*2)/$N$24*E27</f>
        <v>0</v>
      </c>
      <c r="H27" s="24">
        <f t="shared" si="0"/>
        <v>0</v>
      </c>
      <c r="I27" s="25"/>
      <c r="J27" s="25"/>
      <c r="L27" s="10"/>
    </row>
    <row r="28" spans="2:14" ht="51">
      <c r="B28" s="27" t="s">
        <v>86</v>
      </c>
      <c r="C28" s="5" t="s">
        <v>112</v>
      </c>
      <c r="D28" s="20" t="s">
        <v>98</v>
      </c>
      <c r="E28" s="6">
        <v>1.18</v>
      </c>
      <c r="F28" s="22">
        <f t="shared" si="1"/>
        <v>20115.585795795789</v>
      </c>
      <c r="G28" s="23">
        <f t="shared" si="2"/>
        <v>20115.585795795789</v>
      </c>
      <c r="H28" s="24">
        <f t="shared" si="0"/>
        <v>0</v>
      </c>
      <c r="I28" s="25"/>
      <c r="J28" s="25"/>
    </row>
    <row r="29" spans="2:14" ht="238.5" customHeight="1">
      <c r="B29" s="27" t="s">
        <v>110</v>
      </c>
      <c r="C29" s="30" t="s">
        <v>101</v>
      </c>
      <c r="D29" s="20" t="s">
        <v>98</v>
      </c>
      <c r="E29" s="6">
        <v>5.61</v>
      </c>
      <c r="F29" s="22">
        <f t="shared" si="1"/>
        <v>95634.268063063035</v>
      </c>
      <c r="G29" s="23">
        <f t="shared" si="2"/>
        <v>95634.268063063035</v>
      </c>
      <c r="H29" s="24">
        <f t="shared" si="0"/>
        <v>0</v>
      </c>
      <c r="I29" s="25"/>
      <c r="J29" s="25"/>
      <c r="K29" s="2"/>
      <c r="L29" s="1"/>
      <c r="M29" s="113"/>
      <c r="N29" s="113"/>
    </row>
    <row r="30" spans="2:14" ht="124.5" customHeight="1">
      <c r="B30" s="27" t="s">
        <v>102</v>
      </c>
      <c r="C30" s="5" t="s">
        <v>111</v>
      </c>
      <c r="D30" s="20" t="s">
        <v>98</v>
      </c>
      <c r="E30" s="6">
        <v>0.24</v>
      </c>
      <c r="F30" s="22">
        <f t="shared" si="1"/>
        <v>4091.3055855855841</v>
      </c>
      <c r="G30" s="23">
        <f t="shared" ref="G30" si="3">$N$23/$N$24*E30</f>
        <v>4091.3055855855841</v>
      </c>
      <c r="H30" s="24">
        <f t="shared" si="0"/>
        <v>0</v>
      </c>
      <c r="I30" s="25"/>
      <c r="J30" s="25"/>
    </row>
    <row r="31" spans="2:14" ht="49.5" customHeight="1">
      <c r="B31" s="28" t="s">
        <v>103</v>
      </c>
      <c r="C31" s="5" t="s">
        <v>111</v>
      </c>
      <c r="D31" s="20" t="s">
        <v>98</v>
      </c>
      <c r="E31" s="6">
        <v>4.41</v>
      </c>
      <c r="F31" s="22">
        <v>85806.98</v>
      </c>
      <c r="G31" s="4">
        <v>86425</v>
      </c>
      <c r="H31" s="24">
        <f>F31-G31</f>
        <v>-618.02000000000407</v>
      </c>
      <c r="I31" s="25"/>
      <c r="J31" s="25"/>
      <c r="L31" s="10"/>
    </row>
    <row r="32" spans="2:14" ht="16.5" thickBot="1">
      <c r="B32" s="31" t="s">
        <v>88</v>
      </c>
      <c r="C32" s="32" t="s">
        <v>101</v>
      </c>
      <c r="D32" s="33" t="s">
        <v>98</v>
      </c>
      <c r="E32" s="34">
        <v>0.71</v>
      </c>
      <c r="F32" s="22">
        <f t="shared" si="1"/>
        <v>12103.445690690687</v>
      </c>
      <c r="G32" s="23">
        <f t="shared" ref="G32" si="4">$N$23/$N$24*E32</f>
        <v>12103.445690690687</v>
      </c>
      <c r="H32" s="35">
        <f>F32-G32</f>
        <v>0</v>
      </c>
      <c r="I32" s="25"/>
      <c r="J32" s="25"/>
    </row>
    <row r="33" spans="2:14" ht="16.5" thickBot="1">
      <c r="B33" s="36" t="s">
        <v>89</v>
      </c>
      <c r="C33" s="37"/>
      <c r="D33" s="37"/>
      <c r="E33" s="38">
        <f>SUM(E24:E32)</f>
        <v>17.730000000000004</v>
      </c>
      <c r="F33" s="39">
        <f>SUM(F24:F32)</f>
        <v>312874.43999999994</v>
      </c>
      <c r="G33" s="40">
        <f>SUM(G24:G32)</f>
        <v>313492.45999999996</v>
      </c>
      <c r="H33" s="41">
        <f>SUM(H24:H32)</f>
        <v>-618.02000000000407</v>
      </c>
      <c r="I33" s="42"/>
      <c r="J33" s="42"/>
    </row>
    <row r="34" spans="2:14">
      <c r="B34" s="10"/>
      <c r="C34" s="10"/>
      <c r="D34" s="10"/>
      <c r="E34" s="141"/>
      <c r="F34" s="141"/>
      <c r="G34" s="141"/>
      <c r="H34" s="142"/>
      <c r="I34" s="142"/>
      <c r="J34" s="142"/>
    </row>
    <row r="35" spans="2:14" ht="16.5" customHeight="1" thickBot="1">
      <c r="B35" s="155" t="s">
        <v>154</v>
      </c>
      <c r="C35" s="155"/>
      <c r="D35" s="155"/>
      <c r="E35" s="155"/>
      <c r="F35" s="155"/>
      <c r="G35" s="155"/>
      <c r="H35" s="155"/>
      <c r="I35" s="43"/>
      <c r="J35" s="43"/>
    </row>
    <row r="36" spans="2:14" ht="44.25" customHeight="1" thickBot="1">
      <c r="B36" s="94" t="s">
        <v>155</v>
      </c>
      <c r="C36" s="147" t="s">
        <v>104</v>
      </c>
      <c r="D36" s="148"/>
      <c r="E36" s="156" t="s">
        <v>10</v>
      </c>
      <c r="F36" s="157"/>
      <c r="G36" s="156" t="s">
        <v>11</v>
      </c>
      <c r="H36" s="158"/>
      <c r="I36" s="44"/>
      <c r="J36" s="44"/>
      <c r="K36" s="45"/>
      <c r="L36" s="46"/>
      <c r="M36" s="114"/>
      <c r="N36" s="114"/>
    </row>
    <row r="37" spans="2:14">
      <c r="B37" s="95" t="s">
        <v>12</v>
      </c>
      <c r="C37" s="149">
        <f>E37+G37</f>
        <v>2581914.1279457966</v>
      </c>
      <c r="D37" s="150"/>
      <c r="E37" s="153">
        <f>F24+F25+F26+F27+F28+F29+F30+F32+E16</f>
        <v>1722442.1279457966</v>
      </c>
      <c r="F37" s="154"/>
      <c r="G37" s="153">
        <f>F31+G16</f>
        <v>859472</v>
      </c>
      <c r="H37" s="159"/>
      <c r="I37" s="48"/>
      <c r="J37" s="48"/>
      <c r="K37" s="7"/>
      <c r="L37" s="7"/>
      <c r="M37" s="115"/>
    </row>
    <row r="38" spans="2:14">
      <c r="B38" s="47" t="s">
        <v>13</v>
      </c>
      <c r="C38" s="151">
        <f>E38+G38</f>
        <v>2484350</v>
      </c>
      <c r="D38" s="152"/>
      <c r="E38" s="151">
        <f>E17+218408.06</f>
        <v>1667179.2000000002</v>
      </c>
      <c r="F38" s="152"/>
      <c r="G38" s="151">
        <f>G17+82534.67</f>
        <v>817170.8</v>
      </c>
      <c r="H38" s="160"/>
      <c r="I38" s="48"/>
      <c r="J38" s="48"/>
      <c r="K38" s="9"/>
      <c r="L38" s="7"/>
      <c r="M38" s="115"/>
    </row>
    <row r="39" spans="2:14" ht="16.5" thickBot="1">
      <c r="B39" s="49" t="s">
        <v>78</v>
      </c>
      <c r="C39" s="161">
        <f>E39+G39</f>
        <v>2394228.0055402359</v>
      </c>
      <c r="D39" s="162"/>
      <c r="E39" s="164">
        <f>G24+G25+G26+G27+G28+G29+G30+G32+E18</f>
        <v>1725155.0055402359</v>
      </c>
      <c r="F39" s="165"/>
      <c r="G39" s="164">
        <f>G31+G18</f>
        <v>669073</v>
      </c>
      <c r="H39" s="166"/>
      <c r="I39" s="48"/>
      <c r="J39" s="48"/>
      <c r="K39" s="50"/>
      <c r="L39" s="50"/>
    </row>
    <row r="40" spans="2:14" ht="36.75" thickBot="1">
      <c r="B40" s="11" t="s">
        <v>136</v>
      </c>
      <c r="C40" s="170">
        <f>E40+G40</f>
        <v>90121.994459764333</v>
      </c>
      <c r="D40" s="171"/>
      <c r="E40" s="168">
        <f>E38-E39</f>
        <v>-57975.805540235713</v>
      </c>
      <c r="F40" s="169"/>
      <c r="G40" s="168">
        <f>G38-G39</f>
        <v>148097.80000000005</v>
      </c>
      <c r="H40" s="172"/>
      <c r="I40" s="48"/>
      <c r="J40" s="48"/>
      <c r="K40" s="50"/>
      <c r="L40" s="50"/>
    </row>
    <row r="41" spans="2:14" ht="34.5" customHeight="1">
      <c r="B41" s="132" t="s">
        <v>79</v>
      </c>
      <c r="C41" s="163" t="s">
        <v>141</v>
      </c>
      <c r="D41" s="163"/>
      <c r="E41" s="163"/>
      <c r="F41" s="167" t="s">
        <v>146</v>
      </c>
      <c r="G41" s="167"/>
      <c r="H41" s="132"/>
      <c r="I41" s="132"/>
      <c r="J41" s="132"/>
      <c r="K41" s="2"/>
      <c r="L41" s="2"/>
      <c r="M41" s="113"/>
      <c r="N41" s="113"/>
    </row>
    <row r="42" spans="2:14" ht="11.25" customHeight="1">
      <c r="B42" s="132"/>
      <c r="C42" s="132"/>
      <c r="D42" s="132"/>
      <c r="E42" s="133"/>
      <c r="F42" s="174"/>
      <c r="G42" s="174"/>
      <c r="H42" s="134"/>
      <c r="I42" s="134"/>
      <c r="J42" s="134"/>
      <c r="K42" s="2"/>
      <c r="L42" s="2"/>
      <c r="M42" s="113"/>
      <c r="N42" s="113"/>
    </row>
    <row r="43" spans="2:14">
      <c r="B43" s="132" t="s">
        <v>80</v>
      </c>
      <c r="C43" s="163" t="s">
        <v>141</v>
      </c>
      <c r="D43" s="163"/>
      <c r="E43" s="163"/>
      <c r="F43" s="167" t="s">
        <v>91</v>
      </c>
      <c r="G43" s="167"/>
      <c r="H43" s="132"/>
      <c r="I43" s="132"/>
      <c r="J43" s="132"/>
      <c r="K43" s="2"/>
      <c r="L43" s="2"/>
      <c r="M43" s="113"/>
      <c r="N43" s="113"/>
    </row>
    <row r="44" spans="2:14" ht="9.75" customHeight="1">
      <c r="B44" s="132"/>
      <c r="C44" s="132"/>
      <c r="D44" s="132"/>
      <c r="E44" s="133"/>
      <c r="F44" s="167"/>
      <c r="G44" s="167"/>
      <c r="H44" s="132"/>
      <c r="I44" s="132"/>
      <c r="J44" s="132"/>
    </row>
    <row r="45" spans="2:14">
      <c r="B45" s="132" t="s">
        <v>81</v>
      </c>
      <c r="C45" s="163" t="s">
        <v>141</v>
      </c>
      <c r="D45" s="163"/>
      <c r="E45" s="163"/>
      <c r="F45" s="167" t="s">
        <v>148</v>
      </c>
      <c r="G45" s="167"/>
      <c r="H45" s="132"/>
      <c r="I45" s="132"/>
      <c r="J45" s="132"/>
    </row>
    <row r="46" spans="2:14" ht="8.25" customHeight="1">
      <c r="B46" s="51"/>
      <c r="C46" s="51"/>
      <c r="D46" s="51"/>
      <c r="E46" s="133"/>
      <c r="F46" s="52"/>
      <c r="G46" s="53"/>
      <c r="H46" s="54"/>
      <c r="I46" s="54"/>
      <c r="J46" s="54"/>
    </row>
    <row r="47" spans="2:14">
      <c r="B47" s="132" t="s">
        <v>82</v>
      </c>
      <c r="C47" s="163" t="s">
        <v>141</v>
      </c>
      <c r="D47" s="163"/>
      <c r="E47" s="163"/>
      <c r="F47" s="167" t="s">
        <v>148</v>
      </c>
      <c r="G47" s="167"/>
    </row>
    <row r="48" spans="2:14" ht="9" customHeight="1">
      <c r="B48" s="55"/>
      <c r="C48" s="55"/>
      <c r="D48" s="55"/>
      <c r="E48" s="133"/>
      <c r="F48" s="173"/>
      <c r="G48" s="173"/>
    </row>
  </sheetData>
  <mergeCells count="55">
    <mergeCell ref="C41:E41"/>
    <mergeCell ref="C43:E43"/>
    <mergeCell ref="C45:E45"/>
    <mergeCell ref="C47:E47"/>
    <mergeCell ref="G17:H17"/>
    <mergeCell ref="E18:F18"/>
    <mergeCell ref="G18:H18"/>
    <mergeCell ref="E19:F19"/>
    <mergeCell ref="G19:H19"/>
    <mergeCell ref="G39:H39"/>
    <mergeCell ref="G40:H40"/>
    <mergeCell ref="E39:F39"/>
    <mergeCell ref="E40:F40"/>
    <mergeCell ref="C39:D39"/>
    <mergeCell ref="C40:D40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E15:F15"/>
    <mergeCell ref="G15:H15"/>
    <mergeCell ref="E16:F16"/>
    <mergeCell ref="G16:H16"/>
    <mergeCell ref="E17:F17"/>
    <mergeCell ref="F48:G48"/>
    <mergeCell ref="F44:G44"/>
    <mergeCell ref="F45:G45"/>
    <mergeCell ref="F47:G47"/>
    <mergeCell ref="F41:G41"/>
    <mergeCell ref="F42:G42"/>
    <mergeCell ref="F43:G43"/>
    <mergeCell ref="C15:D15"/>
    <mergeCell ref="C16:D16"/>
    <mergeCell ref="C17:D17"/>
    <mergeCell ref="C18:D18"/>
    <mergeCell ref="C19:D19"/>
    <mergeCell ref="M21:M22"/>
    <mergeCell ref="N21:N22"/>
    <mergeCell ref="C36:D36"/>
    <mergeCell ref="C37:D37"/>
    <mergeCell ref="C38:D38"/>
    <mergeCell ref="E38:F38"/>
    <mergeCell ref="G38:H38"/>
    <mergeCell ref="B35:H35"/>
    <mergeCell ref="E36:F36"/>
    <mergeCell ref="G36:H36"/>
    <mergeCell ref="E37:F37"/>
    <mergeCell ref="G37:H37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0"/>
  <sheetViews>
    <sheetView topLeftCell="A32"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3" customWidth="1"/>
    <col min="2" max="2" width="56.28515625" style="3" customWidth="1"/>
    <col min="3" max="3" width="24.42578125" style="56" customWidth="1"/>
    <col min="4" max="4" width="8.42578125" style="142" customWidth="1"/>
    <col min="5" max="5" width="10.28515625" style="142" customWidth="1"/>
    <col min="6" max="6" width="10.140625" style="3" customWidth="1"/>
    <col min="7" max="8" width="10.42578125" style="3" customWidth="1"/>
    <col min="9" max="9" width="12.28515625" style="3" customWidth="1"/>
    <col min="10" max="12" width="9.140625" style="3"/>
    <col min="13" max="13" width="13.85546875" style="110" customWidth="1"/>
    <col min="14" max="14" width="16.28515625" style="110" customWidth="1"/>
    <col min="15" max="16384" width="9.140625" style="3"/>
  </cols>
  <sheetData>
    <row r="1" spans="1:9">
      <c r="B1" s="175" t="s">
        <v>106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5" customHeight="1"/>
    <row r="5" spans="1:9">
      <c r="B5" s="3" t="s">
        <v>0</v>
      </c>
      <c r="D5" s="188" t="s">
        <v>32</v>
      </c>
      <c r="E5" s="188"/>
    </row>
    <row r="6" spans="1:9">
      <c r="B6" s="3" t="s">
        <v>1</v>
      </c>
      <c r="D6" s="135">
        <v>1960</v>
      </c>
      <c r="E6" s="135"/>
    </row>
    <row r="7" spans="1:9" hidden="1" outlineLevel="1">
      <c r="B7" s="3" t="s">
        <v>2</v>
      </c>
      <c r="D7" s="135">
        <v>2</v>
      </c>
      <c r="E7" s="135"/>
    </row>
    <row r="8" spans="1:9" hidden="1" outlineLevel="1">
      <c r="B8" s="3" t="s">
        <v>3</v>
      </c>
      <c r="D8" s="135">
        <v>16</v>
      </c>
      <c r="E8" s="135"/>
    </row>
    <row r="9" spans="1:9" ht="30.75" hidden="1" customHeight="1" outlineLevel="1">
      <c r="B9" s="13" t="s">
        <v>4</v>
      </c>
      <c r="C9" s="57"/>
      <c r="D9" s="135" t="s">
        <v>33</v>
      </c>
      <c r="E9" s="135"/>
    </row>
    <row r="10" spans="1:9" collapsed="1">
      <c r="B10" s="3" t="s">
        <v>5</v>
      </c>
      <c r="D10" s="135" t="s">
        <v>119</v>
      </c>
      <c r="E10" s="135"/>
      <c r="I10" s="10"/>
    </row>
    <row r="11" spans="1:9" hidden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57"/>
      <c r="D12" s="109" t="s">
        <v>34</v>
      </c>
      <c r="E12" s="135"/>
      <c r="I12" s="10"/>
    </row>
    <row r="13" spans="1:9" collapsed="1">
      <c r="B13" s="13"/>
      <c r="C13" s="57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3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675908.00885243888</v>
      </c>
      <c r="D16" s="191"/>
      <c r="E16" s="153">
        <v>549698.41885243892</v>
      </c>
      <c r="F16" s="154"/>
      <c r="G16" s="153">
        <v>126209.59</v>
      </c>
      <c r="H16" s="159"/>
      <c r="I16" s="10"/>
    </row>
    <row r="17" spans="2:14">
      <c r="B17" s="47" t="s">
        <v>13</v>
      </c>
      <c r="C17" s="151">
        <v>583955.91</v>
      </c>
      <c r="D17" s="189"/>
      <c r="E17" s="151">
        <v>474445.44</v>
      </c>
      <c r="F17" s="152"/>
      <c r="G17" s="151">
        <v>109510.47</v>
      </c>
      <c r="H17" s="160"/>
      <c r="I17" s="10"/>
    </row>
    <row r="18" spans="2:14">
      <c r="B18" s="49" t="s">
        <v>78</v>
      </c>
      <c r="C18" s="151">
        <v>722644.14904178341</v>
      </c>
      <c r="D18" s="189"/>
      <c r="E18" s="164">
        <v>554279.14904178341</v>
      </c>
      <c r="F18" s="165"/>
      <c r="G18" s="164">
        <v>168365</v>
      </c>
      <c r="H18" s="166"/>
      <c r="I18" s="10"/>
    </row>
    <row r="19" spans="2:14" ht="16.5" thickBot="1">
      <c r="B19" s="59" t="s">
        <v>134</v>
      </c>
      <c r="C19" s="161">
        <v>8100</v>
      </c>
      <c r="D19" s="190"/>
      <c r="E19" s="161">
        <v>8100</v>
      </c>
      <c r="F19" s="162"/>
      <c r="G19" s="161">
        <v>0</v>
      </c>
      <c r="H19" s="192"/>
      <c r="I19" s="10"/>
    </row>
    <row r="20" spans="2:14" ht="29.25" customHeight="1" thickBot="1">
      <c r="B20" s="11" t="s">
        <v>135</v>
      </c>
      <c r="C20" s="170">
        <f>E20+G20</f>
        <v>-130588.23904178341</v>
      </c>
      <c r="D20" s="171"/>
      <c r="E20" s="168">
        <f>E17+E19-E18</f>
        <v>-71733.709041783412</v>
      </c>
      <c r="F20" s="169"/>
      <c r="G20" s="168">
        <f>G17-G18</f>
        <v>-58854.53</v>
      </c>
      <c r="H20" s="172"/>
      <c r="I20" s="10"/>
    </row>
    <row r="21" spans="2:14">
      <c r="B21" s="13"/>
      <c r="C21" s="57"/>
      <c r="D21" s="109"/>
      <c r="E21" s="135"/>
      <c r="I21" s="10"/>
    </row>
    <row r="22" spans="2:14" ht="25.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80749.009999999995</v>
      </c>
      <c r="N24" s="111">
        <f>M24</f>
        <v>80749.009999999995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2.2799999999999998</v>
      </c>
      <c r="F25" s="22">
        <f>$M$24/$M$25*E25</f>
        <v>13597.322215657312</v>
      </c>
      <c r="G25" s="23">
        <f>$N$24/$N$25*E25</f>
        <v>13597.322215657312</v>
      </c>
      <c r="H25" s="24">
        <f>F25-G25</f>
        <v>0</v>
      </c>
      <c r="I25" s="25"/>
      <c r="J25" s="25"/>
      <c r="K25" s="138"/>
      <c r="L25" s="26"/>
      <c r="M25" s="112">
        <f>E34-E32</f>
        <v>13.54</v>
      </c>
      <c r="N25" s="112">
        <f>E34-E32</f>
        <v>13.54</v>
      </c>
    </row>
    <row r="26" spans="2:14" ht="51">
      <c r="B26" s="27" t="s">
        <v>90</v>
      </c>
      <c r="C26" s="5" t="s">
        <v>111</v>
      </c>
      <c r="D26" s="20" t="s">
        <v>98</v>
      </c>
      <c r="E26" s="6">
        <v>2.98</v>
      </c>
      <c r="F26" s="22">
        <f>$M$24/$M$25*E26</f>
        <v>17771.938685376663</v>
      </c>
      <c r="G26" s="23">
        <f>$N$24/$N$25*E26</f>
        <v>17771.938685376663</v>
      </c>
      <c r="H26" s="24">
        <f t="shared" ref="H26:H31" si="0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ref="F27:F33" si="1">$M$24/$M$25*E27</f>
        <v>1908.3961004431317</v>
      </c>
      <c r="G27" s="23">
        <f t="shared" ref="G27:G30" si="2">$N$24/$N$25*E27</f>
        <v>1908.3961004431317</v>
      </c>
      <c r="H27" s="24">
        <f t="shared" si="0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0.5</v>
      </c>
      <c r="F28" s="22">
        <f>($M$24/12*2)/$M$25*E28</f>
        <v>496.9781511570655</v>
      </c>
      <c r="G28" s="23">
        <f>($N$24/12*2)/$N$25*E28</f>
        <v>496.9781511570655</v>
      </c>
      <c r="H28" s="24">
        <f t="shared" si="0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1.18</v>
      </c>
      <c r="F29" s="22">
        <f t="shared" si="1"/>
        <v>7037.2106203840476</v>
      </c>
      <c r="G29" s="23">
        <f t="shared" si="2"/>
        <v>7037.2106203840476</v>
      </c>
      <c r="H29" s="24">
        <f t="shared" si="0"/>
        <v>0</v>
      </c>
      <c r="I29" s="25"/>
      <c r="J29" s="25"/>
    </row>
    <row r="30" spans="2:14" ht="241.5" customHeight="1">
      <c r="B30" s="27" t="s">
        <v>110</v>
      </c>
      <c r="C30" s="30" t="s">
        <v>101</v>
      </c>
      <c r="D30" s="20" t="s">
        <v>98</v>
      </c>
      <c r="E30" s="6">
        <v>5.61</v>
      </c>
      <c r="F30" s="22">
        <f t="shared" si="1"/>
        <v>33456.569135893653</v>
      </c>
      <c r="G30" s="23">
        <f t="shared" si="2"/>
        <v>33456.569135893653</v>
      </c>
      <c r="H30" s="24">
        <f t="shared" si="0"/>
        <v>0</v>
      </c>
      <c r="I30" s="25"/>
      <c r="J30" s="25"/>
      <c r="K30" s="2"/>
      <c r="L30" s="1"/>
      <c r="M30" s="113"/>
      <c r="N30" s="113"/>
    </row>
    <row r="31" spans="2:14" ht="123" customHeight="1">
      <c r="B31" s="27" t="s">
        <v>102</v>
      </c>
      <c r="C31" s="5" t="s">
        <v>111</v>
      </c>
      <c r="D31" s="20" t="s">
        <v>98</v>
      </c>
      <c r="E31" s="6">
        <v>0.19</v>
      </c>
      <c r="F31" s="22">
        <f t="shared" si="1"/>
        <v>1133.1101846381093</v>
      </c>
      <c r="G31" s="23">
        <f t="shared" ref="G31" si="3">$N$24/$N$25*E31</f>
        <v>1133.1101846381093</v>
      </c>
      <c r="H31" s="24">
        <f t="shared" si="0"/>
        <v>0</v>
      </c>
      <c r="I31" s="25"/>
      <c r="J31" s="25"/>
    </row>
    <row r="32" spans="2:14" ht="48.75" customHeight="1">
      <c r="B32" s="28" t="s">
        <v>103</v>
      </c>
      <c r="C32" s="5" t="s">
        <v>111</v>
      </c>
      <c r="D32" s="20" t="s">
        <v>98</v>
      </c>
      <c r="E32" s="6">
        <v>2.21</v>
      </c>
      <c r="F32" s="22">
        <v>14772.79</v>
      </c>
      <c r="G32" s="4">
        <v>638</v>
      </c>
      <c r="H32" s="24">
        <f>F32-G32</f>
        <v>14134.79</v>
      </c>
      <c r="I32" s="25"/>
      <c r="J32" s="25"/>
      <c r="L32" s="10"/>
    </row>
    <row r="33" spans="2:14" ht="16.5" thickBot="1">
      <c r="B33" s="31" t="s">
        <v>88</v>
      </c>
      <c r="C33" s="32" t="s">
        <v>101</v>
      </c>
      <c r="D33" s="33" t="s">
        <v>98</v>
      </c>
      <c r="E33" s="34">
        <v>0.48</v>
      </c>
      <c r="F33" s="22">
        <f t="shared" si="1"/>
        <v>2862.5941506646973</v>
      </c>
      <c r="G33" s="23">
        <f t="shared" ref="G33" si="4">$N$24/$N$25*E33</f>
        <v>2862.5941506646973</v>
      </c>
      <c r="H33" s="35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15.75</v>
      </c>
      <c r="F34" s="39">
        <f>SUM(F25:F33)</f>
        <v>93036.909244214679</v>
      </c>
      <c r="G34" s="40">
        <f>SUM(G25:G33)</f>
        <v>78902.119244214671</v>
      </c>
      <c r="H34" s="41">
        <f>SUM(H25:H33)</f>
        <v>14134.79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768944.91809665354</v>
      </c>
      <c r="D38" s="150"/>
      <c r="E38" s="153">
        <f>F25+F26+F27+F28+F29+F30+F31+F33+E16</f>
        <v>627962.53809665353</v>
      </c>
      <c r="F38" s="154"/>
      <c r="G38" s="153">
        <f>F32+G16</f>
        <v>140982.38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659055.65</v>
      </c>
      <c r="D39" s="152"/>
      <c r="E39" s="151">
        <f>E17+63485.29</f>
        <v>537930.73</v>
      </c>
      <c r="F39" s="152"/>
      <c r="G39" s="151">
        <f>G17+11614.45</f>
        <v>121124.92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801546.26828599814</v>
      </c>
      <c r="D40" s="152"/>
      <c r="E40" s="164">
        <f>G25+G26+G27+G28+G29+G30+G31+G33+E18</f>
        <v>632543.26828599814</v>
      </c>
      <c r="F40" s="165"/>
      <c r="G40" s="164">
        <f>G32+G18</f>
        <v>169003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8400</v>
      </c>
      <c r="D41" s="162"/>
      <c r="E41" s="161">
        <f>E19+300</f>
        <v>8400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33" customHeight="1" thickBot="1">
      <c r="B42" s="11" t="s">
        <v>136</v>
      </c>
      <c r="C42" s="170">
        <f>E42+G42</f>
        <v>-134090.61828599818</v>
      </c>
      <c r="D42" s="171"/>
      <c r="E42" s="168">
        <f>E39+E41-E40</f>
        <v>-86212.538285998162</v>
      </c>
      <c r="F42" s="169"/>
      <c r="G42" s="168">
        <f>G39-G40</f>
        <v>-47878.080000000002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</sheetData>
  <mergeCells count="61">
    <mergeCell ref="C43:E43"/>
    <mergeCell ref="C45:E45"/>
    <mergeCell ref="C47:E47"/>
    <mergeCell ref="C49:E49"/>
    <mergeCell ref="C20:D20"/>
    <mergeCell ref="E39:F39"/>
    <mergeCell ref="F43:G43"/>
    <mergeCell ref="F44:G44"/>
    <mergeCell ref="E42:F42"/>
    <mergeCell ref="F49:G49"/>
    <mergeCell ref="G40:H40"/>
    <mergeCell ref="C40:D40"/>
    <mergeCell ref="G17:H17"/>
    <mergeCell ref="E20:F20"/>
    <mergeCell ref="G20:H20"/>
    <mergeCell ref="E18:F18"/>
    <mergeCell ref="G18:H18"/>
    <mergeCell ref="E19:F19"/>
    <mergeCell ref="G19:H19"/>
    <mergeCell ref="B1:H1"/>
    <mergeCell ref="B2:H3"/>
    <mergeCell ref="B22:H22"/>
    <mergeCell ref="B23:B24"/>
    <mergeCell ref="C23:C24"/>
    <mergeCell ref="D23:D24"/>
    <mergeCell ref="E23:E24"/>
    <mergeCell ref="F23:G23"/>
    <mergeCell ref="H23:H24"/>
    <mergeCell ref="D5:E5"/>
    <mergeCell ref="B14:H14"/>
    <mergeCell ref="E15:F15"/>
    <mergeCell ref="G15:H15"/>
    <mergeCell ref="E16:F16"/>
    <mergeCell ref="G16:H16"/>
    <mergeCell ref="E17:F17"/>
    <mergeCell ref="F50:G50"/>
    <mergeCell ref="F45:G45"/>
    <mergeCell ref="F46:G46"/>
    <mergeCell ref="F47:G47"/>
    <mergeCell ref="C15:D15"/>
    <mergeCell ref="C16:D16"/>
    <mergeCell ref="C17:D17"/>
    <mergeCell ref="C18:D18"/>
    <mergeCell ref="C19:D19"/>
    <mergeCell ref="C41:D41"/>
    <mergeCell ref="C42:D42"/>
    <mergeCell ref="G42:H42"/>
    <mergeCell ref="E41:F41"/>
    <mergeCell ref="G41:H41"/>
    <mergeCell ref="G39:H39"/>
    <mergeCell ref="E40:F40"/>
    <mergeCell ref="M22:M23"/>
    <mergeCell ref="N22:N23"/>
    <mergeCell ref="C37:D37"/>
    <mergeCell ref="C38:D38"/>
    <mergeCell ref="C39:D39"/>
    <mergeCell ref="B36:H36"/>
    <mergeCell ref="E37:F37"/>
    <mergeCell ref="G37:H37"/>
    <mergeCell ref="E38:F38"/>
    <mergeCell ref="G38:H38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0"/>
  <sheetViews>
    <sheetView topLeftCell="B1"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3" customWidth="1"/>
    <col min="2" max="2" width="56" style="3" customWidth="1"/>
    <col min="3" max="3" width="21.42578125" style="56" customWidth="1"/>
    <col min="4" max="4" width="9.5703125" style="142" customWidth="1"/>
    <col min="5" max="5" width="10.28515625" style="142" customWidth="1"/>
    <col min="6" max="6" width="11" style="3" customWidth="1"/>
    <col min="7" max="7" width="11.28515625" style="3" customWidth="1"/>
    <col min="8" max="8" width="11" style="3" customWidth="1"/>
    <col min="9" max="9" width="10.7109375" style="3" bestFit="1" customWidth="1"/>
    <col min="10" max="12" width="9.140625" style="3"/>
    <col min="13" max="14" width="13.7109375" style="110" customWidth="1"/>
    <col min="15" max="16384" width="9.140625" style="3"/>
  </cols>
  <sheetData>
    <row r="1" spans="1:9">
      <c r="B1" s="175" t="s">
        <v>157</v>
      </c>
      <c r="C1" s="175"/>
      <c r="D1" s="175"/>
      <c r="E1" s="175"/>
      <c r="F1" s="175"/>
      <c r="G1" s="175"/>
      <c r="H1" s="175"/>
    </row>
    <row r="2" spans="1:9" ht="19.5" customHeight="1">
      <c r="A2" s="12"/>
      <c r="B2" s="176" t="s">
        <v>156</v>
      </c>
      <c r="C2" s="176"/>
      <c r="D2" s="176"/>
      <c r="E2" s="176"/>
      <c r="F2" s="176"/>
      <c r="G2" s="176"/>
      <c r="H2" s="176"/>
    </row>
    <row r="3" spans="1:9" ht="20.25" customHeight="1">
      <c r="A3" s="12"/>
      <c r="B3" s="176"/>
      <c r="C3" s="176"/>
      <c r="D3" s="176"/>
      <c r="E3" s="176"/>
      <c r="F3" s="176"/>
      <c r="G3" s="176"/>
      <c r="H3" s="176"/>
    </row>
    <row r="4" spans="1:9" ht="15" customHeight="1"/>
    <row r="5" spans="1:9">
      <c r="B5" s="3" t="s">
        <v>0</v>
      </c>
      <c r="D5" s="188" t="s">
        <v>35</v>
      </c>
      <c r="E5" s="188"/>
    </row>
    <row r="6" spans="1:9">
      <c r="B6" s="3" t="s">
        <v>1</v>
      </c>
      <c r="D6" s="135">
        <v>1960</v>
      </c>
      <c r="E6" s="135"/>
    </row>
    <row r="7" spans="1:9" hidden="1" outlineLevel="1">
      <c r="B7" s="3" t="s">
        <v>2</v>
      </c>
      <c r="D7" s="135">
        <v>2</v>
      </c>
      <c r="E7" s="135"/>
    </row>
    <row r="8" spans="1:9" hidden="1" outlineLevel="1">
      <c r="B8" s="3" t="s">
        <v>3</v>
      </c>
      <c r="D8" s="135">
        <v>16</v>
      </c>
      <c r="E8" s="135"/>
    </row>
    <row r="9" spans="1:9" ht="30.75" hidden="1" customHeight="1" outlineLevel="1">
      <c r="B9" s="13" t="s">
        <v>4</v>
      </c>
      <c r="C9" s="57"/>
      <c r="D9" s="135" t="s">
        <v>36</v>
      </c>
      <c r="E9" s="135"/>
    </row>
    <row r="10" spans="1:9" collapsed="1">
      <c r="B10" s="3" t="s">
        <v>5</v>
      </c>
      <c r="D10" s="135" t="s">
        <v>120</v>
      </c>
      <c r="E10" s="135"/>
      <c r="I10" s="10"/>
    </row>
    <row r="11" spans="1:9" ht="17.25" hidden="1" customHeight="1" outlineLevel="1">
      <c r="B11" s="3" t="s">
        <v>6</v>
      </c>
      <c r="D11" s="135" t="s">
        <v>7</v>
      </c>
      <c r="E11" s="135"/>
    </row>
    <row r="12" spans="1:9" ht="30.75" hidden="1" customHeight="1" outlineLevel="1">
      <c r="B12" s="13" t="s">
        <v>8</v>
      </c>
      <c r="C12" s="57"/>
      <c r="D12" s="109" t="s">
        <v>37</v>
      </c>
      <c r="E12" s="135"/>
      <c r="I12" s="10"/>
    </row>
    <row r="13" spans="1:9" collapsed="1">
      <c r="B13" s="13"/>
      <c r="C13" s="57"/>
      <c r="D13" s="109"/>
      <c r="E13" s="135"/>
      <c r="I13" s="10"/>
    </row>
    <row r="14" spans="1:9" ht="16.5" thickBot="1">
      <c r="B14" s="155" t="s">
        <v>149</v>
      </c>
      <c r="C14" s="155"/>
      <c r="D14" s="155"/>
      <c r="E14" s="155"/>
      <c r="F14" s="155"/>
      <c r="G14" s="155"/>
      <c r="H14" s="155"/>
      <c r="I14" s="10"/>
    </row>
    <row r="15" spans="1:9" ht="43.5" customHeight="1" thickBot="1">
      <c r="B15" s="94" t="s">
        <v>155</v>
      </c>
      <c r="C15" s="147" t="s">
        <v>104</v>
      </c>
      <c r="D15" s="148"/>
      <c r="E15" s="156" t="s">
        <v>10</v>
      </c>
      <c r="F15" s="157"/>
      <c r="G15" s="156" t="s">
        <v>11</v>
      </c>
      <c r="H15" s="158"/>
      <c r="I15" s="10"/>
    </row>
    <row r="16" spans="1:9">
      <c r="B16" s="95" t="s">
        <v>12</v>
      </c>
      <c r="C16" s="149">
        <v>763215.1539148275</v>
      </c>
      <c r="D16" s="191"/>
      <c r="E16" s="153">
        <v>544580.63391482749</v>
      </c>
      <c r="F16" s="154"/>
      <c r="G16" s="153">
        <v>218634.52</v>
      </c>
      <c r="H16" s="159"/>
      <c r="I16" s="10"/>
    </row>
    <row r="17" spans="2:14">
      <c r="B17" s="47" t="s">
        <v>13</v>
      </c>
      <c r="C17" s="151">
        <v>673906.18</v>
      </c>
      <c r="D17" s="189"/>
      <c r="E17" s="151">
        <v>481733.79000000004</v>
      </c>
      <c r="F17" s="152"/>
      <c r="G17" s="151">
        <v>192172.39</v>
      </c>
      <c r="H17" s="160"/>
      <c r="I17" s="10"/>
    </row>
    <row r="18" spans="2:14">
      <c r="B18" s="49" t="s">
        <v>78</v>
      </c>
      <c r="C18" s="151">
        <v>714185.70331531111</v>
      </c>
      <c r="D18" s="189"/>
      <c r="E18" s="164">
        <v>554223.70331531111</v>
      </c>
      <c r="F18" s="165"/>
      <c r="G18" s="164">
        <v>159962</v>
      </c>
      <c r="H18" s="166"/>
      <c r="I18" s="10"/>
    </row>
    <row r="19" spans="2:14" ht="16.5" thickBot="1">
      <c r="B19" s="59" t="s">
        <v>134</v>
      </c>
      <c r="C19" s="161">
        <v>7800</v>
      </c>
      <c r="D19" s="190"/>
      <c r="E19" s="161">
        <v>7800</v>
      </c>
      <c r="F19" s="162"/>
      <c r="G19" s="161">
        <v>0</v>
      </c>
      <c r="H19" s="192"/>
      <c r="I19" s="10"/>
    </row>
    <row r="20" spans="2:14" ht="30" customHeight="1" thickBot="1">
      <c r="B20" s="11" t="s">
        <v>135</v>
      </c>
      <c r="C20" s="170">
        <f>E20+G20</f>
        <v>-32479.52331531106</v>
      </c>
      <c r="D20" s="171"/>
      <c r="E20" s="168">
        <f>E17+E19-E18</f>
        <v>-64689.913315311074</v>
      </c>
      <c r="F20" s="169"/>
      <c r="G20" s="168">
        <f>G17-G18</f>
        <v>32210.390000000014</v>
      </c>
      <c r="H20" s="172"/>
      <c r="I20" s="10"/>
    </row>
    <row r="21" spans="2:14">
      <c r="B21" s="13"/>
      <c r="C21" s="57"/>
      <c r="D21" s="109"/>
      <c r="E21" s="135"/>
      <c r="I21" s="10"/>
    </row>
    <row r="22" spans="2:14" ht="24.75" customHeight="1" thickBot="1">
      <c r="B22" s="177" t="s">
        <v>152</v>
      </c>
      <c r="C22" s="177"/>
      <c r="D22" s="177"/>
      <c r="E22" s="177"/>
      <c r="F22" s="177"/>
      <c r="G22" s="177"/>
      <c r="H22" s="177"/>
      <c r="I22" s="15"/>
      <c r="J22" s="15"/>
      <c r="L22" s="10"/>
      <c r="M22" s="145" t="s">
        <v>137</v>
      </c>
      <c r="N22" s="145" t="s">
        <v>138</v>
      </c>
    </row>
    <row r="23" spans="2:14" ht="27.75" customHeight="1">
      <c r="B23" s="178" t="s">
        <v>92</v>
      </c>
      <c r="C23" s="180" t="s">
        <v>93</v>
      </c>
      <c r="D23" s="180" t="s">
        <v>94</v>
      </c>
      <c r="E23" s="182" t="s">
        <v>153</v>
      </c>
      <c r="F23" s="184" t="s">
        <v>95</v>
      </c>
      <c r="G23" s="185"/>
      <c r="H23" s="186" t="s">
        <v>113</v>
      </c>
      <c r="I23" s="16"/>
      <c r="J23" s="16"/>
      <c r="L23" s="10"/>
      <c r="M23" s="146"/>
      <c r="N23" s="146"/>
    </row>
    <row r="24" spans="2:14" ht="45" customHeight="1" thickBot="1">
      <c r="B24" s="179"/>
      <c r="C24" s="181"/>
      <c r="D24" s="181"/>
      <c r="E24" s="183"/>
      <c r="F24" s="17" t="s">
        <v>83</v>
      </c>
      <c r="G24" s="18" t="s">
        <v>84</v>
      </c>
      <c r="H24" s="187"/>
      <c r="I24" s="16"/>
      <c r="J24" s="16"/>
      <c r="M24" s="111">
        <v>74415.39</v>
      </c>
      <c r="N24" s="112">
        <f>M24</f>
        <v>74415.39</v>
      </c>
    </row>
    <row r="25" spans="2:14" ht="50.25" customHeight="1">
      <c r="B25" s="19" t="s">
        <v>96</v>
      </c>
      <c r="C25" s="5" t="s">
        <v>111</v>
      </c>
      <c r="D25" s="20" t="s">
        <v>98</v>
      </c>
      <c r="E25" s="21">
        <v>2.2799999999999998</v>
      </c>
      <c r="F25" s="22">
        <f>$M$24/$M$25*E25</f>
        <v>13183.146013986014</v>
      </c>
      <c r="G25" s="23">
        <f>$N$24/$N$25*E25</f>
        <v>13183.146013986014</v>
      </c>
      <c r="H25" s="24">
        <f>F25-G25</f>
        <v>0</v>
      </c>
      <c r="I25" s="25"/>
      <c r="J25" s="25"/>
      <c r="K25" s="138"/>
      <c r="L25" s="26"/>
      <c r="M25" s="112">
        <f>E34-E32</f>
        <v>12.87</v>
      </c>
      <c r="N25" s="112">
        <f>E34-E32</f>
        <v>12.87</v>
      </c>
    </row>
    <row r="26" spans="2:14" ht="56.25">
      <c r="B26" s="27" t="s">
        <v>90</v>
      </c>
      <c r="C26" s="5" t="s">
        <v>111</v>
      </c>
      <c r="D26" s="20" t="s">
        <v>98</v>
      </c>
      <c r="E26" s="6">
        <v>2.58</v>
      </c>
      <c r="F26" s="22">
        <f>$M$24/$M$25*E26</f>
        <v>14917.770489510491</v>
      </c>
      <c r="G26" s="23">
        <f>$N$24/$N$25*E26</f>
        <v>14917.770489510491</v>
      </c>
      <c r="H26" s="24">
        <f t="shared" ref="H26:H31" si="0">F26-G26</f>
        <v>0</v>
      </c>
      <c r="I26" s="25"/>
      <c r="J26" s="25"/>
      <c r="K26" s="2"/>
      <c r="L26" s="2"/>
      <c r="M26" s="113"/>
      <c r="N26" s="113"/>
    </row>
    <row r="27" spans="2:14" ht="52.5" customHeight="1">
      <c r="B27" s="28" t="s">
        <v>85</v>
      </c>
      <c r="C27" s="5" t="s">
        <v>111</v>
      </c>
      <c r="D27" s="20" t="s">
        <v>98</v>
      </c>
      <c r="E27" s="6">
        <v>0.32</v>
      </c>
      <c r="F27" s="22">
        <f t="shared" ref="F27:F33" si="1">$M$24/$M$25*E27</f>
        <v>1850.2661072261074</v>
      </c>
      <c r="G27" s="23">
        <f t="shared" ref="G27:G30" si="2">$N$24/$N$25*E27</f>
        <v>1850.2661072261074</v>
      </c>
      <c r="H27" s="24">
        <f t="shared" si="0"/>
        <v>0</v>
      </c>
      <c r="I27" s="25"/>
      <c r="J27" s="25"/>
      <c r="L27" s="10"/>
    </row>
    <row r="28" spans="2:14" ht="25.5">
      <c r="B28" s="28" t="s">
        <v>99</v>
      </c>
      <c r="C28" s="29" t="s">
        <v>100</v>
      </c>
      <c r="D28" s="20" t="s">
        <v>98</v>
      </c>
      <c r="E28" s="6">
        <v>0.5</v>
      </c>
      <c r="F28" s="22">
        <f>($M$24/12*2)/$M$25*E28</f>
        <v>481.84013209013216</v>
      </c>
      <c r="G28" s="23">
        <f>($N$24/12*2)/$N$25*E28</f>
        <v>481.84013209013216</v>
      </c>
      <c r="H28" s="24">
        <f t="shared" si="0"/>
        <v>0</v>
      </c>
      <c r="I28" s="25"/>
      <c r="J28" s="25"/>
      <c r="L28" s="10"/>
    </row>
    <row r="29" spans="2:14" ht="51">
      <c r="B29" s="27" t="s">
        <v>86</v>
      </c>
      <c r="C29" s="5" t="s">
        <v>112</v>
      </c>
      <c r="D29" s="20" t="s">
        <v>98</v>
      </c>
      <c r="E29" s="6">
        <v>1.18</v>
      </c>
      <c r="F29" s="22">
        <f t="shared" si="1"/>
        <v>6822.8562703962698</v>
      </c>
      <c r="G29" s="23">
        <f t="shared" si="2"/>
        <v>6822.8562703962698</v>
      </c>
      <c r="H29" s="24">
        <f t="shared" si="0"/>
        <v>0</v>
      </c>
      <c r="I29" s="25"/>
      <c r="J29" s="25"/>
    </row>
    <row r="30" spans="2:14" ht="226.5" customHeight="1">
      <c r="B30" s="27" t="s">
        <v>110</v>
      </c>
      <c r="C30" s="30" t="s">
        <v>101</v>
      </c>
      <c r="D30" s="20" t="s">
        <v>98</v>
      </c>
      <c r="E30" s="6">
        <v>5.61</v>
      </c>
      <c r="F30" s="22">
        <f t="shared" si="1"/>
        <v>32437.477692307693</v>
      </c>
      <c r="G30" s="23">
        <f t="shared" si="2"/>
        <v>32437.477692307693</v>
      </c>
      <c r="H30" s="24">
        <f t="shared" si="0"/>
        <v>0</v>
      </c>
      <c r="I30" s="25"/>
      <c r="J30" s="25"/>
      <c r="K30" s="2"/>
      <c r="L30" s="1"/>
      <c r="M30" s="113"/>
      <c r="N30" s="113"/>
    </row>
    <row r="31" spans="2:14" ht="108.75" customHeight="1">
      <c r="B31" s="27" t="s">
        <v>102</v>
      </c>
      <c r="C31" s="5" t="s">
        <v>111</v>
      </c>
      <c r="D31" s="20" t="s">
        <v>98</v>
      </c>
      <c r="E31" s="6">
        <v>0.19</v>
      </c>
      <c r="F31" s="22">
        <f t="shared" si="1"/>
        <v>1098.5955011655012</v>
      </c>
      <c r="G31" s="23">
        <f t="shared" ref="G31" si="3">$N$24/$N$25*E31</f>
        <v>1098.5955011655012</v>
      </c>
      <c r="H31" s="24">
        <f t="shared" si="0"/>
        <v>0</v>
      </c>
      <c r="I31" s="25"/>
      <c r="J31" s="25"/>
    </row>
    <row r="32" spans="2:14" ht="56.25">
      <c r="B32" s="28" t="s">
        <v>103</v>
      </c>
      <c r="C32" s="5" t="s">
        <v>111</v>
      </c>
      <c r="D32" s="20" t="s">
        <v>98</v>
      </c>
      <c r="E32" s="6">
        <v>3.56</v>
      </c>
      <c r="F32" s="22">
        <v>23361.45</v>
      </c>
      <c r="G32" s="4">
        <v>8891</v>
      </c>
      <c r="H32" s="24">
        <f>F32-G32</f>
        <v>14470.45</v>
      </c>
      <c r="I32" s="25"/>
      <c r="J32" s="25"/>
      <c r="L32" s="10"/>
    </row>
    <row r="33" spans="2:14" ht="16.5" thickBot="1">
      <c r="B33" s="31" t="s">
        <v>88</v>
      </c>
      <c r="C33" s="32" t="s">
        <v>101</v>
      </c>
      <c r="D33" s="33" t="s">
        <v>98</v>
      </c>
      <c r="E33" s="34">
        <v>0.21</v>
      </c>
      <c r="F33" s="22">
        <f t="shared" si="1"/>
        <v>1214.2371328671329</v>
      </c>
      <c r="G33" s="23">
        <f t="shared" ref="G33" si="4">$N$24/$N$25*E33</f>
        <v>1214.2371328671329</v>
      </c>
      <c r="H33" s="35">
        <f>F33-G33</f>
        <v>0</v>
      </c>
      <c r="I33" s="25"/>
      <c r="J33" s="25"/>
    </row>
    <row r="34" spans="2:14" ht="16.5" thickBot="1">
      <c r="B34" s="36" t="s">
        <v>89</v>
      </c>
      <c r="C34" s="37"/>
      <c r="D34" s="37"/>
      <c r="E34" s="38">
        <f>SUM(E25:E33)</f>
        <v>16.43</v>
      </c>
      <c r="F34" s="39">
        <f>SUM(F25:F33)</f>
        <v>95367.639339549336</v>
      </c>
      <c r="G34" s="40">
        <f>SUM(G25:G33)</f>
        <v>80897.189339549339</v>
      </c>
      <c r="H34" s="41">
        <f>SUM(H25:H33)</f>
        <v>14470.45</v>
      </c>
      <c r="I34" s="42"/>
      <c r="J34" s="42"/>
    </row>
    <row r="35" spans="2:14">
      <c r="B35" s="10"/>
      <c r="C35" s="10"/>
      <c r="D35" s="10"/>
      <c r="E35" s="141"/>
      <c r="F35" s="141"/>
      <c r="G35" s="141"/>
      <c r="H35" s="142"/>
      <c r="I35" s="142"/>
      <c r="J35" s="142"/>
    </row>
    <row r="36" spans="2:14" ht="16.5" customHeight="1" thickBot="1">
      <c r="B36" s="155" t="s">
        <v>154</v>
      </c>
      <c r="C36" s="155"/>
      <c r="D36" s="155"/>
      <c r="E36" s="155"/>
      <c r="F36" s="155"/>
      <c r="G36" s="155"/>
      <c r="H36" s="155"/>
      <c r="I36" s="43"/>
      <c r="J36" s="43"/>
    </row>
    <row r="37" spans="2:14" ht="44.25" customHeight="1" thickBot="1">
      <c r="B37" s="94" t="s">
        <v>155</v>
      </c>
      <c r="C37" s="147" t="s">
        <v>104</v>
      </c>
      <c r="D37" s="148"/>
      <c r="E37" s="156" t="s">
        <v>10</v>
      </c>
      <c r="F37" s="157"/>
      <c r="G37" s="156" t="s">
        <v>11</v>
      </c>
      <c r="H37" s="158"/>
      <c r="I37" s="44"/>
      <c r="J37" s="44"/>
      <c r="K37" s="45"/>
      <c r="L37" s="46"/>
      <c r="M37" s="114"/>
      <c r="N37" s="114"/>
    </row>
    <row r="38" spans="2:14">
      <c r="B38" s="95" t="s">
        <v>12</v>
      </c>
      <c r="C38" s="149">
        <f>E38+G38</f>
        <v>858582.79325437685</v>
      </c>
      <c r="D38" s="150"/>
      <c r="E38" s="153">
        <f>F25+F26+F27+F28+F29+F30+F31+F33+E16</f>
        <v>616586.82325437688</v>
      </c>
      <c r="F38" s="154"/>
      <c r="G38" s="153">
        <f>F32+G16</f>
        <v>241995.97</v>
      </c>
      <c r="H38" s="159"/>
      <c r="I38" s="48"/>
      <c r="J38" s="48"/>
      <c r="K38" s="7"/>
      <c r="L38" s="7"/>
      <c r="M38" s="115"/>
    </row>
    <row r="39" spans="2:14">
      <c r="B39" s="47" t="s">
        <v>13</v>
      </c>
      <c r="C39" s="151">
        <f>E39+G39</f>
        <v>768400.87</v>
      </c>
      <c r="D39" s="152"/>
      <c r="E39" s="151">
        <f>E17+71917.44</f>
        <v>553651.23</v>
      </c>
      <c r="F39" s="152"/>
      <c r="G39" s="151">
        <f>G17+22577.25</f>
        <v>214749.64</v>
      </c>
      <c r="H39" s="160"/>
      <c r="I39" s="48"/>
      <c r="J39" s="48"/>
      <c r="K39" s="9"/>
      <c r="L39" s="7"/>
      <c r="M39" s="115"/>
    </row>
    <row r="40" spans="2:14">
      <c r="B40" s="49" t="s">
        <v>78</v>
      </c>
      <c r="C40" s="151">
        <f>E40+G40</f>
        <v>795082.89265486039</v>
      </c>
      <c r="D40" s="152"/>
      <c r="E40" s="164">
        <f>G25+G26+G27+G28+G29+G30+G31+G33+E18</f>
        <v>626229.89265486039</v>
      </c>
      <c r="F40" s="165"/>
      <c r="G40" s="164">
        <f>G32+G18</f>
        <v>168853</v>
      </c>
      <c r="H40" s="166"/>
      <c r="I40" s="48"/>
      <c r="J40" s="48"/>
      <c r="K40" s="50"/>
      <c r="L40" s="50"/>
    </row>
    <row r="41" spans="2:14" ht="16.5" thickBot="1">
      <c r="B41" s="59" t="s">
        <v>134</v>
      </c>
      <c r="C41" s="161">
        <f>E41+G41</f>
        <v>7800</v>
      </c>
      <c r="D41" s="162"/>
      <c r="E41" s="161">
        <f>E19</f>
        <v>7800</v>
      </c>
      <c r="F41" s="162"/>
      <c r="G41" s="161">
        <f>G19</f>
        <v>0</v>
      </c>
      <c r="H41" s="192"/>
      <c r="I41" s="48"/>
      <c r="J41" s="48"/>
      <c r="K41" s="50"/>
      <c r="L41" s="50"/>
    </row>
    <row r="42" spans="2:14" ht="36.75" thickBot="1">
      <c r="B42" s="11" t="s">
        <v>136</v>
      </c>
      <c r="C42" s="170">
        <f>E42+G42</f>
        <v>-18882.022654860397</v>
      </c>
      <c r="D42" s="171"/>
      <c r="E42" s="168">
        <f>E39+E41-E40</f>
        <v>-64778.662654860411</v>
      </c>
      <c r="F42" s="169"/>
      <c r="G42" s="168">
        <f>G39-G40</f>
        <v>45896.640000000014</v>
      </c>
      <c r="H42" s="172"/>
      <c r="I42" s="48"/>
      <c r="J42" s="48"/>
      <c r="K42" s="50"/>
      <c r="L42" s="50"/>
    </row>
    <row r="43" spans="2:14" ht="34.5" customHeight="1">
      <c r="B43" s="132" t="s">
        <v>79</v>
      </c>
      <c r="C43" s="163" t="s">
        <v>141</v>
      </c>
      <c r="D43" s="163"/>
      <c r="E43" s="163"/>
      <c r="F43" s="167" t="s">
        <v>146</v>
      </c>
      <c r="G43" s="167"/>
      <c r="H43" s="132"/>
      <c r="I43" s="132"/>
      <c r="J43" s="132"/>
      <c r="K43" s="2"/>
      <c r="L43" s="2"/>
      <c r="M43" s="113"/>
      <c r="N43" s="113"/>
    </row>
    <row r="44" spans="2:14" ht="11.25" customHeight="1">
      <c r="B44" s="132"/>
      <c r="C44" s="132"/>
      <c r="D44" s="132"/>
      <c r="E44" s="133"/>
      <c r="F44" s="174"/>
      <c r="G44" s="174"/>
      <c r="H44" s="134"/>
      <c r="I44" s="134"/>
      <c r="J44" s="134"/>
      <c r="K44" s="2"/>
      <c r="L44" s="2"/>
      <c r="M44" s="113"/>
      <c r="N44" s="113"/>
    </row>
    <row r="45" spans="2:14">
      <c r="B45" s="132" t="s">
        <v>80</v>
      </c>
      <c r="C45" s="163" t="s">
        <v>141</v>
      </c>
      <c r="D45" s="163"/>
      <c r="E45" s="163"/>
      <c r="F45" s="167" t="s">
        <v>91</v>
      </c>
      <c r="G45" s="167"/>
      <c r="H45" s="132"/>
      <c r="I45" s="132"/>
      <c r="J45" s="132"/>
      <c r="K45" s="2"/>
      <c r="L45" s="2"/>
      <c r="M45" s="113"/>
      <c r="N45" s="113"/>
    </row>
    <row r="46" spans="2:14" ht="9.75" customHeight="1">
      <c r="B46" s="132"/>
      <c r="C46" s="132"/>
      <c r="D46" s="132"/>
      <c r="E46" s="133"/>
      <c r="F46" s="167"/>
      <c r="G46" s="167"/>
      <c r="H46" s="132"/>
      <c r="I46" s="132"/>
      <c r="J46" s="132"/>
    </row>
    <row r="47" spans="2:14">
      <c r="B47" s="132" t="s">
        <v>81</v>
      </c>
      <c r="C47" s="163" t="s">
        <v>141</v>
      </c>
      <c r="D47" s="163"/>
      <c r="E47" s="163"/>
      <c r="F47" s="167" t="s">
        <v>148</v>
      </c>
      <c r="G47" s="167"/>
      <c r="H47" s="132"/>
      <c r="I47" s="132"/>
      <c r="J47" s="132"/>
    </row>
    <row r="48" spans="2:14" ht="8.25" customHeight="1">
      <c r="B48" s="51"/>
      <c r="C48" s="51"/>
      <c r="D48" s="51"/>
      <c r="E48" s="133"/>
      <c r="F48" s="52"/>
      <c r="G48" s="53"/>
      <c r="H48" s="54"/>
      <c r="I48" s="54"/>
      <c r="J48" s="54"/>
    </row>
    <row r="49" spans="2:7">
      <c r="B49" s="132" t="s">
        <v>82</v>
      </c>
      <c r="C49" s="163" t="s">
        <v>141</v>
      </c>
      <c r="D49" s="163"/>
      <c r="E49" s="163"/>
      <c r="F49" s="167" t="s">
        <v>148</v>
      </c>
      <c r="G49" s="167"/>
    </row>
    <row r="50" spans="2:7" ht="9" customHeight="1">
      <c r="B50" s="55"/>
      <c r="C50" s="55"/>
      <c r="D50" s="55"/>
      <c r="E50" s="133"/>
      <c r="F50" s="173"/>
      <c r="G50" s="173"/>
    </row>
  </sheetData>
  <mergeCells count="61">
    <mergeCell ref="C20:D20"/>
    <mergeCell ref="C40:D40"/>
    <mergeCell ref="G17:H17"/>
    <mergeCell ref="E20:F20"/>
    <mergeCell ref="G20:H20"/>
    <mergeCell ref="E18:F18"/>
    <mergeCell ref="G18:H18"/>
    <mergeCell ref="E19:F19"/>
    <mergeCell ref="G19:H19"/>
    <mergeCell ref="G40:H40"/>
    <mergeCell ref="B1:H1"/>
    <mergeCell ref="B2:H3"/>
    <mergeCell ref="B22:H22"/>
    <mergeCell ref="B23:B24"/>
    <mergeCell ref="C23:C24"/>
    <mergeCell ref="D23:D24"/>
    <mergeCell ref="E23:E24"/>
    <mergeCell ref="F23:G23"/>
    <mergeCell ref="H23:H24"/>
    <mergeCell ref="D5:E5"/>
    <mergeCell ref="B14:H14"/>
    <mergeCell ref="E15:F15"/>
    <mergeCell ref="G15:H15"/>
    <mergeCell ref="E16:F16"/>
    <mergeCell ref="G16:H16"/>
    <mergeCell ref="E17:F17"/>
    <mergeCell ref="C43:E43"/>
    <mergeCell ref="F47:G47"/>
    <mergeCell ref="F49:G49"/>
    <mergeCell ref="F50:G50"/>
    <mergeCell ref="F44:G44"/>
    <mergeCell ref="F45:G45"/>
    <mergeCell ref="F46:G46"/>
    <mergeCell ref="C45:E45"/>
    <mergeCell ref="C47:E47"/>
    <mergeCell ref="C49:E49"/>
    <mergeCell ref="F43:G43"/>
    <mergeCell ref="C15:D15"/>
    <mergeCell ref="C16:D16"/>
    <mergeCell ref="C17:D17"/>
    <mergeCell ref="C18:D18"/>
    <mergeCell ref="C19:D19"/>
    <mergeCell ref="M22:M23"/>
    <mergeCell ref="N22:N23"/>
    <mergeCell ref="C37:D37"/>
    <mergeCell ref="C38:D38"/>
    <mergeCell ref="C39:D39"/>
    <mergeCell ref="G39:H39"/>
    <mergeCell ref="E39:F39"/>
    <mergeCell ref="G42:H42"/>
    <mergeCell ref="B36:H36"/>
    <mergeCell ref="E37:F37"/>
    <mergeCell ref="G37:H37"/>
    <mergeCell ref="E38:F38"/>
    <mergeCell ref="G38:H38"/>
    <mergeCell ref="G41:H41"/>
    <mergeCell ref="C41:D41"/>
    <mergeCell ref="C42:D42"/>
    <mergeCell ref="E40:F40"/>
    <mergeCell ref="E42:F42"/>
    <mergeCell ref="E41:F41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вой.64</vt:lpstr>
      <vt:lpstr>вой.66</vt:lpstr>
      <vt:lpstr>коп.3</vt:lpstr>
      <vt:lpstr>коп.5</vt:lpstr>
      <vt:lpstr>коп.7</vt:lpstr>
      <vt:lpstr>коп.8</vt:lpstr>
      <vt:lpstr>коп.10</vt:lpstr>
      <vt:lpstr>коп.15</vt:lpstr>
      <vt:lpstr>коп.17</vt:lpstr>
      <vt:lpstr>коп.23</vt:lpstr>
      <vt:lpstr>коп.25</vt:lpstr>
      <vt:lpstr>лин.23</vt:lpstr>
      <vt:lpstr>лин.30</vt:lpstr>
      <vt:lpstr>маг.4</vt:lpstr>
      <vt:lpstr>маг.6</vt:lpstr>
      <vt:lpstr>мар.рас.16</vt:lpstr>
      <vt:lpstr>мар.рас.22</vt:lpstr>
      <vt:lpstr>перс.1</vt:lpstr>
      <vt:lpstr>перс.3</vt:lpstr>
      <vt:lpstr>фест.4</vt:lpstr>
      <vt:lpstr>фест.8</vt:lpstr>
      <vt:lpstr>фест.10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2023-04-18T12:53:16Z</dcterms:modified>
</cp:coreProperties>
</file>