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60" sheetId="1" r:id="rId1"/>
    <sheet name="62" sheetId="2" r:id="rId2"/>
    <sheet name="62а" sheetId="3" r:id="rId3"/>
    <sheet name="68" sheetId="4" r:id="rId4"/>
    <sheet name="68а" sheetId="5" r:id="rId5"/>
    <sheet name="70" sheetId="6" r:id="rId6"/>
    <sheet name="70а" sheetId="7" r:id="rId7"/>
    <sheet name="72" sheetId="8" r:id="rId8"/>
    <sheet name="72а" sheetId="9" r:id="rId9"/>
    <sheet name="80" sheetId="11" r:id="rId10"/>
    <sheet name="82" sheetId="12" r:id="rId11"/>
    <sheet name="84в" sheetId="13" r:id="rId12"/>
    <sheet name="86а" sheetId="14" r:id="rId13"/>
    <sheet name="88" sheetId="15" r:id="rId14"/>
    <sheet name="92" sheetId="17" r:id="rId15"/>
    <sheet name="92а" sheetId="18" r:id="rId16"/>
    <sheet name="94" sheetId="19" r:id="rId17"/>
    <sheet name="96" sheetId="20" r:id="rId18"/>
    <sheet name="96а" sheetId="21" r:id="rId19"/>
    <sheet name="98" sheetId="22" r:id="rId20"/>
    <sheet name="100" sheetId="23" r:id="rId21"/>
    <sheet name="Лист1" sheetId="24" r:id="rId22"/>
  </sheets>
  <calcPr calcId="124519"/>
  <fileRecoveryPr autoRecover="0"/>
</workbook>
</file>

<file path=xl/calcChain.xml><?xml version="1.0" encoding="utf-8"?>
<calcChain xmlns="http://schemas.openxmlformats.org/spreadsheetml/2006/main">
  <c r="G40" i="20"/>
  <c r="G41"/>
  <c r="G40" i="17" l="1"/>
  <c r="G38" i="11"/>
  <c r="G40" i="7" l="1"/>
  <c r="G41"/>
  <c r="G41" i="13" l="1"/>
  <c r="G40"/>
  <c r="G40" i="23"/>
  <c r="E40"/>
  <c r="F34"/>
  <c r="G40" i="22"/>
  <c r="E40"/>
  <c r="G40" i="21"/>
  <c r="E40"/>
  <c r="E40" i="20"/>
  <c r="G40" i="19"/>
  <c r="E40"/>
  <c r="G41" i="18"/>
  <c r="E41"/>
  <c r="E40" i="17"/>
  <c r="G40" i="15" l="1"/>
  <c r="E40"/>
  <c r="F34"/>
  <c r="G40" i="14"/>
  <c r="E40"/>
  <c r="E41" i="13"/>
  <c r="G40" i="12"/>
  <c r="E40"/>
  <c r="E38" i="11"/>
  <c r="G40" i="9"/>
  <c r="E40"/>
  <c r="G40" i="8"/>
  <c r="E40"/>
  <c r="E40" i="7"/>
  <c r="F34"/>
  <c r="G40" i="6"/>
  <c r="E40"/>
  <c r="G40" i="5"/>
  <c r="E40"/>
  <c r="G40" i="4" l="1"/>
  <c r="E40"/>
  <c r="G41" i="3"/>
  <c r="E41"/>
  <c r="G40" i="2"/>
  <c r="E40"/>
  <c r="G41" i="1" l="1"/>
  <c r="E41"/>
  <c r="C40" i="6" l="1"/>
  <c r="N25" i="23" l="1"/>
  <c r="N25" i="22"/>
  <c r="N25" i="21"/>
  <c r="O25" i="20"/>
  <c r="N25" i="19"/>
  <c r="N25" i="18"/>
  <c r="N25" i="17"/>
  <c r="N25" i="15"/>
  <c r="N25" i="14"/>
  <c r="N25" i="13"/>
  <c r="N25" i="12" l="1"/>
  <c r="N23" i="11" l="1"/>
  <c r="N25" i="9"/>
  <c r="N25" i="8"/>
  <c r="N25" i="7"/>
  <c r="N25" i="6"/>
  <c r="N25" i="5"/>
  <c r="N25" i="4"/>
  <c r="N25" i="3"/>
  <c r="N25" i="2"/>
  <c r="N25" i="1" l="1"/>
  <c r="G40" l="1"/>
  <c r="G42" i="18" l="1"/>
  <c r="N26" i="23" l="1"/>
  <c r="M26"/>
  <c r="N26" i="22"/>
  <c r="M26"/>
  <c r="N26" i="14"/>
  <c r="M26"/>
  <c r="N26" i="4"/>
  <c r="M26"/>
  <c r="G34" i="3" l="1"/>
  <c r="N29" i="23" l="1"/>
  <c r="M29"/>
  <c r="N29" i="18"/>
  <c r="M29"/>
  <c r="N29" i="4"/>
  <c r="M29"/>
  <c r="H33" s="1"/>
  <c r="H30" i="1"/>
  <c r="C21" i="20" l="1"/>
  <c r="G41" i="5" l="1"/>
  <c r="G39" i="15" l="1"/>
  <c r="G41"/>
  <c r="C40" l="1"/>
  <c r="G40" i="18" l="1"/>
  <c r="G42" i="13"/>
  <c r="G42" i="3"/>
  <c r="G43" s="1"/>
  <c r="G40"/>
  <c r="G21" l="1"/>
  <c r="E21"/>
  <c r="C41"/>
  <c r="C21" l="1"/>
  <c r="G37" i="11"/>
  <c r="G39"/>
  <c r="G40" s="1"/>
  <c r="G19"/>
  <c r="E19"/>
  <c r="C19" l="1"/>
  <c r="C38"/>
  <c r="G41" i="17" l="1"/>
  <c r="G41" i="14"/>
  <c r="G39"/>
  <c r="G41" i="12"/>
  <c r="G39"/>
  <c r="G41" i="8"/>
  <c r="G39" i="7"/>
  <c r="G41" i="6"/>
  <c r="G39"/>
  <c r="G39" i="5"/>
  <c r="G41" i="4"/>
  <c r="G42" s="1"/>
  <c r="G39"/>
  <c r="G41" i="2"/>
  <c r="G39"/>
  <c r="G42" i="1"/>
  <c r="G43" l="1"/>
  <c r="N29" i="19"/>
  <c r="M29"/>
  <c r="N29" i="8"/>
  <c r="M29" l="1"/>
  <c r="G39" l="1"/>
  <c r="E21" i="1" l="1"/>
  <c r="C21"/>
  <c r="G39" i="20"/>
  <c r="G21"/>
  <c r="E21"/>
  <c r="G41" i="23"/>
  <c r="G42" s="1"/>
  <c r="G39"/>
  <c r="G21"/>
  <c r="E21"/>
  <c r="G41" i="22"/>
  <c r="G42" s="1"/>
  <c r="G39"/>
  <c r="G21"/>
  <c r="E21"/>
  <c r="G41" i="21"/>
  <c r="G42" s="1"/>
  <c r="G39"/>
  <c r="G21"/>
  <c r="E21"/>
  <c r="G41" i="19"/>
  <c r="G42" s="1"/>
  <c r="G39"/>
  <c r="G21"/>
  <c r="E21"/>
  <c r="G21" i="18"/>
  <c r="E21"/>
  <c r="G42" i="17"/>
  <c r="G39"/>
  <c r="G21"/>
  <c r="E21"/>
  <c r="G42" i="15"/>
  <c r="G21"/>
  <c r="E21"/>
  <c r="G21" i="14"/>
  <c r="E21"/>
  <c r="G21" i="13"/>
  <c r="E21"/>
  <c r="G42" i="12"/>
  <c r="G21"/>
  <c r="E21"/>
  <c r="G41" i="9"/>
  <c r="G42" s="1"/>
  <c r="G39"/>
  <c r="G21"/>
  <c r="E21"/>
  <c r="G42" i="8"/>
  <c r="G21"/>
  <c r="E21"/>
  <c r="C40" i="7"/>
  <c r="G21"/>
  <c r="E21"/>
  <c r="G42" i="6"/>
  <c r="G21"/>
  <c r="E21"/>
  <c r="G21" i="5"/>
  <c r="E21"/>
  <c r="G21" i="4"/>
  <c r="E21"/>
  <c r="C40" i="2"/>
  <c r="G21"/>
  <c r="E21"/>
  <c r="G21" i="1"/>
  <c r="C41"/>
  <c r="C21" i="15" l="1"/>
  <c r="C21" i="13"/>
  <c r="C21" i="22"/>
  <c r="C21" i="8"/>
  <c r="C21" i="7"/>
  <c r="C21" i="6"/>
  <c r="C21" i="23"/>
  <c r="C40" i="22"/>
  <c r="C21" i="21"/>
  <c r="C40"/>
  <c r="C21" i="19"/>
  <c r="C40"/>
  <c r="C21" i="18"/>
  <c r="G43"/>
  <c r="C21" i="17"/>
  <c r="C40"/>
  <c r="C40" i="14"/>
  <c r="C21"/>
  <c r="G43" i="13"/>
  <c r="C21" i="12"/>
  <c r="C40"/>
  <c r="C21" i="9"/>
  <c r="C40"/>
  <c r="G42" i="7"/>
  <c r="G42" i="5"/>
  <c r="C21"/>
  <c r="C40"/>
  <c r="C21" i="4"/>
  <c r="G42" i="2"/>
  <c r="C21"/>
  <c r="G42" i="20"/>
  <c r="C40"/>
  <c r="G42" i="14"/>
  <c r="C41" i="13"/>
  <c r="H33" i="23" l="1"/>
  <c r="H33" i="22"/>
  <c r="H33" i="21"/>
  <c r="H33" i="20"/>
  <c r="H33" i="19" l="1"/>
  <c r="H33" i="18"/>
  <c r="H33" i="17"/>
  <c r="H33" i="15"/>
  <c r="H33" i="14" l="1"/>
  <c r="H33" i="13" l="1"/>
  <c r="H33" i="12"/>
  <c r="H31" i="11"/>
  <c r="H33" i="9"/>
  <c r="H33" i="7"/>
  <c r="H33" i="6"/>
  <c r="H33" i="5"/>
  <c r="H33" i="3" l="1"/>
  <c r="H33" i="2"/>
  <c r="H34" i="1"/>
  <c r="E36" l="1"/>
  <c r="N26" l="1"/>
  <c r="M26"/>
  <c r="F35"/>
  <c r="F33"/>
  <c r="F32"/>
  <c r="F31"/>
  <c r="F29"/>
  <c r="F28"/>
  <c r="F27"/>
  <c r="F26"/>
  <c r="E40" l="1"/>
  <c r="C40" s="1"/>
  <c r="G32"/>
  <c r="G28"/>
  <c r="G26"/>
  <c r="G35"/>
  <c r="G33"/>
  <c r="G31"/>
  <c r="G29"/>
  <c r="G27"/>
  <c r="E35" i="23"/>
  <c r="E35" i="22"/>
  <c r="E42" i="1" l="1"/>
  <c r="C42" s="1"/>
  <c r="G36"/>
  <c r="H26"/>
  <c r="N27" i="23"/>
  <c r="M27"/>
  <c r="C40" l="1"/>
  <c r="E43" i="1"/>
  <c r="C43" s="1"/>
  <c r="F32" i="23"/>
  <c r="F30"/>
  <c r="F28"/>
  <c r="F26"/>
  <c r="F31"/>
  <c r="F29"/>
  <c r="F27"/>
  <c r="G34"/>
  <c r="G31"/>
  <c r="G29"/>
  <c r="G27"/>
  <c r="G32"/>
  <c r="G30"/>
  <c r="G28"/>
  <c r="G26"/>
  <c r="G34" i="22"/>
  <c r="G32"/>
  <c r="G31"/>
  <c r="G30"/>
  <c r="G29"/>
  <c r="G28"/>
  <c r="G27"/>
  <c r="G26"/>
  <c r="F32"/>
  <c r="F30"/>
  <c r="F28"/>
  <c r="F26"/>
  <c r="F34"/>
  <c r="H34" s="1"/>
  <c r="F31"/>
  <c r="F29"/>
  <c r="F27"/>
  <c r="E41" i="23" l="1"/>
  <c r="E42" s="1"/>
  <c r="C42" s="1"/>
  <c r="E39"/>
  <c r="C39" s="1"/>
  <c r="E41" i="22"/>
  <c r="C41" s="1"/>
  <c r="E39"/>
  <c r="C39" s="1"/>
  <c r="H32"/>
  <c r="H27"/>
  <c r="H31"/>
  <c r="H30"/>
  <c r="H28"/>
  <c r="H29"/>
  <c r="F35" i="23"/>
  <c r="H28"/>
  <c r="H32"/>
  <c r="H27"/>
  <c r="H31"/>
  <c r="H26"/>
  <c r="G35"/>
  <c r="H30"/>
  <c r="H34"/>
  <c r="H29"/>
  <c r="H26" i="22"/>
  <c r="F35"/>
  <c r="G35"/>
  <c r="E35" i="21"/>
  <c r="E35" i="20"/>
  <c r="E35" i="19"/>
  <c r="E36" i="18"/>
  <c r="E35" i="17"/>
  <c r="E35" i="15"/>
  <c r="E35" i="14"/>
  <c r="E36" i="13"/>
  <c r="E35" i="12"/>
  <c r="E33" i="11"/>
  <c r="E35" i="9"/>
  <c r="E35" i="8"/>
  <c r="E35" i="7"/>
  <c r="E35" i="6"/>
  <c r="E35" i="5"/>
  <c r="E35" i="4"/>
  <c r="M26" i="18" l="1"/>
  <c r="N26"/>
  <c r="G34" s="1"/>
  <c r="N26" i="5"/>
  <c r="M26"/>
  <c r="F34" s="1"/>
  <c r="N26" i="21"/>
  <c r="M26"/>
  <c r="M26" i="17"/>
  <c r="N26"/>
  <c r="M26" i="15"/>
  <c r="N26"/>
  <c r="N26" i="12"/>
  <c r="M26"/>
  <c r="M26" i="9"/>
  <c r="N26"/>
  <c r="N26" i="6"/>
  <c r="M26"/>
  <c r="O26" i="20"/>
  <c r="N26"/>
  <c r="F34" s="1"/>
  <c r="N26" i="19"/>
  <c r="M26"/>
  <c r="F34" s="1"/>
  <c r="N26" i="13"/>
  <c r="G34" s="1"/>
  <c r="M26"/>
  <c r="N24" i="11"/>
  <c r="M24"/>
  <c r="N26" i="8"/>
  <c r="M26"/>
  <c r="N26" i="7"/>
  <c r="G29" s="1"/>
  <c r="M26"/>
  <c r="F29" s="1"/>
  <c r="E42" i="22"/>
  <c r="C42" s="1"/>
  <c r="M27" i="4"/>
  <c r="N27"/>
  <c r="H35" i="23"/>
  <c r="C41"/>
  <c r="H35" i="22"/>
  <c r="F32" i="17"/>
  <c r="F30"/>
  <c r="F34"/>
  <c r="F31"/>
  <c r="F29"/>
  <c r="F27"/>
  <c r="F28"/>
  <c r="F26"/>
  <c r="F35" s="1"/>
  <c r="N27" i="19"/>
  <c r="M27"/>
  <c r="M27" i="18"/>
  <c r="F34" s="1"/>
  <c r="N27" i="8"/>
  <c r="M27"/>
  <c r="G34" i="7"/>
  <c r="E36" i="3"/>
  <c r="M26" s="1"/>
  <c r="E35" i="2"/>
  <c r="N27" i="18" l="1"/>
  <c r="H34"/>
  <c r="C41"/>
  <c r="N26" i="2"/>
  <c r="M26"/>
  <c r="C40" i="4"/>
  <c r="H29" i="7"/>
  <c r="C40" i="8"/>
  <c r="E39" i="17"/>
  <c r="C39" s="1"/>
  <c r="F24" i="11"/>
  <c r="F30"/>
  <c r="F28"/>
  <c r="F26"/>
  <c r="H26" s="1"/>
  <c r="F27"/>
  <c r="F29"/>
  <c r="F25"/>
  <c r="F32"/>
  <c r="H32" s="1"/>
  <c r="G30"/>
  <c r="G28"/>
  <c r="G26"/>
  <c r="G29"/>
  <c r="G25"/>
  <c r="H25" s="1"/>
  <c r="G32"/>
  <c r="G27"/>
  <c r="F34" i="21"/>
  <c r="F32"/>
  <c r="F31"/>
  <c r="F30"/>
  <c r="F29"/>
  <c r="H29" s="1"/>
  <c r="G34"/>
  <c r="G32"/>
  <c r="G31"/>
  <c r="G30"/>
  <c r="H30" s="1"/>
  <c r="G29"/>
  <c r="F34" i="2"/>
  <c r="F32"/>
  <c r="F31"/>
  <c r="F30"/>
  <c r="F29"/>
  <c r="F28"/>
  <c r="F27"/>
  <c r="G24" i="11"/>
  <c r="F31" i="20"/>
  <c r="F29"/>
  <c r="F27"/>
  <c r="H27" s="1"/>
  <c r="F32"/>
  <c r="F30"/>
  <c r="F28"/>
  <c r="F26"/>
  <c r="G32"/>
  <c r="G34"/>
  <c r="G31"/>
  <c r="G30"/>
  <c r="G29"/>
  <c r="H29" s="1"/>
  <c r="G28"/>
  <c r="G27"/>
  <c r="G26"/>
  <c r="G26" i="21"/>
  <c r="G28"/>
  <c r="G27"/>
  <c r="F26"/>
  <c r="F28"/>
  <c r="F27"/>
  <c r="G32" i="19"/>
  <c r="G30"/>
  <c r="G28"/>
  <c r="G26"/>
  <c r="G31"/>
  <c r="G29"/>
  <c r="G27"/>
  <c r="G34"/>
  <c r="F32"/>
  <c r="H32" s="1"/>
  <c r="F30"/>
  <c r="H30" s="1"/>
  <c r="F28"/>
  <c r="F26"/>
  <c r="F31"/>
  <c r="F29"/>
  <c r="H29" s="1"/>
  <c r="F27"/>
  <c r="F32" i="18"/>
  <c r="F30"/>
  <c r="F28"/>
  <c r="F26"/>
  <c r="F31"/>
  <c r="F29"/>
  <c r="F27"/>
  <c r="F35"/>
  <c r="G32"/>
  <c r="G30"/>
  <c r="G28"/>
  <c r="G26"/>
  <c r="G31"/>
  <c r="G29"/>
  <c r="G27"/>
  <c r="G35"/>
  <c r="G34" i="17"/>
  <c r="G32"/>
  <c r="G31"/>
  <c r="G30"/>
  <c r="G29"/>
  <c r="G28"/>
  <c r="G27"/>
  <c r="G26"/>
  <c r="G34" i="15"/>
  <c r="G32"/>
  <c r="G31"/>
  <c r="H31" s="1"/>
  <c r="G30"/>
  <c r="G29"/>
  <c r="F32"/>
  <c r="F30"/>
  <c r="H30" s="1"/>
  <c r="F31"/>
  <c r="F29"/>
  <c r="F27"/>
  <c r="H27" s="1"/>
  <c r="F28"/>
  <c r="F26"/>
  <c r="G28"/>
  <c r="G27"/>
  <c r="G26"/>
  <c r="G34" i="14"/>
  <c r="G32"/>
  <c r="G31"/>
  <c r="G30"/>
  <c r="G29"/>
  <c r="G28"/>
  <c r="G27"/>
  <c r="G26"/>
  <c r="F32"/>
  <c r="F30"/>
  <c r="F28"/>
  <c r="F35" s="1"/>
  <c r="F26"/>
  <c r="F34"/>
  <c r="F31"/>
  <c r="F29"/>
  <c r="F27"/>
  <c r="G32" i="13"/>
  <c r="G30"/>
  <c r="G28"/>
  <c r="G26"/>
  <c r="G31"/>
  <c r="G27"/>
  <c r="G35"/>
  <c r="G29"/>
  <c r="F35"/>
  <c r="F31"/>
  <c r="F29"/>
  <c r="F27"/>
  <c r="F30"/>
  <c r="F28"/>
  <c r="F34"/>
  <c r="H34" s="1"/>
  <c r="F32"/>
  <c r="F26"/>
  <c r="F34" i="12"/>
  <c r="F32"/>
  <c r="F31"/>
  <c r="F30"/>
  <c r="F29"/>
  <c r="F28"/>
  <c r="F27"/>
  <c r="F26"/>
  <c r="G34"/>
  <c r="G32"/>
  <c r="G31"/>
  <c r="G30"/>
  <c r="G29"/>
  <c r="G28"/>
  <c r="G27"/>
  <c r="G26"/>
  <c r="F26" i="9"/>
  <c r="F32"/>
  <c r="F30"/>
  <c r="F28"/>
  <c r="F34"/>
  <c r="F31"/>
  <c r="F29"/>
  <c r="F27"/>
  <c r="G26"/>
  <c r="G34"/>
  <c r="G32"/>
  <c r="G31"/>
  <c r="G30"/>
  <c r="G29"/>
  <c r="G28"/>
  <c r="H28" s="1"/>
  <c r="G27"/>
  <c r="F32" i="8"/>
  <c r="F30"/>
  <c r="F28"/>
  <c r="F26"/>
  <c r="F34"/>
  <c r="F31"/>
  <c r="H31" s="1"/>
  <c r="F29"/>
  <c r="F27"/>
  <c r="G32"/>
  <c r="H32" s="1"/>
  <c r="G30"/>
  <c r="H30" s="1"/>
  <c r="G28"/>
  <c r="G26"/>
  <c r="G34"/>
  <c r="G31"/>
  <c r="G29"/>
  <c r="G27"/>
  <c r="H27" s="1"/>
  <c r="F32" i="7"/>
  <c r="F30"/>
  <c r="F28"/>
  <c r="F26"/>
  <c r="F27"/>
  <c r="F31"/>
  <c r="G32"/>
  <c r="G31"/>
  <c r="G30"/>
  <c r="G28"/>
  <c r="G27"/>
  <c r="G26"/>
  <c r="F26" i="6"/>
  <c r="F32"/>
  <c r="F30"/>
  <c r="F28"/>
  <c r="F31"/>
  <c r="F29"/>
  <c r="F27"/>
  <c r="F34"/>
  <c r="G26"/>
  <c r="G34"/>
  <c r="H34" s="1"/>
  <c r="G32"/>
  <c r="G31"/>
  <c r="G30"/>
  <c r="G29"/>
  <c r="G28"/>
  <c r="H28" s="1"/>
  <c r="G27"/>
  <c r="F32" i="5"/>
  <c r="F30"/>
  <c r="F28"/>
  <c r="F26"/>
  <c r="F29"/>
  <c r="F27"/>
  <c r="F31"/>
  <c r="G34"/>
  <c r="G32"/>
  <c r="G31"/>
  <c r="G30"/>
  <c r="G29"/>
  <c r="G28"/>
  <c r="G27"/>
  <c r="G26"/>
  <c r="G34" i="4"/>
  <c r="G32"/>
  <c r="G31"/>
  <c r="G30"/>
  <c r="G29"/>
  <c r="G28"/>
  <c r="G27"/>
  <c r="G26"/>
  <c r="F32"/>
  <c r="F30"/>
  <c r="H30" s="1"/>
  <c r="F28"/>
  <c r="F26"/>
  <c r="F34"/>
  <c r="H34" s="1"/>
  <c r="F31"/>
  <c r="F27"/>
  <c r="F29"/>
  <c r="F26" i="2"/>
  <c r="H33" i="8"/>
  <c r="H32" i="21"/>
  <c r="H31"/>
  <c r="H28"/>
  <c r="H27"/>
  <c r="H32" i="20"/>
  <c r="H28"/>
  <c r="H28" i="19"/>
  <c r="H34"/>
  <c r="H31"/>
  <c r="H34" i="17"/>
  <c r="H32"/>
  <c r="H31"/>
  <c r="H30"/>
  <c r="H29"/>
  <c r="H28"/>
  <c r="H27"/>
  <c r="H28" i="15"/>
  <c r="H32"/>
  <c r="H30" i="11"/>
  <c r="H27"/>
  <c r="H28"/>
  <c r="H24"/>
  <c r="H30" i="9"/>
  <c r="H34" i="5"/>
  <c r="G33" i="11" l="1"/>
  <c r="H29"/>
  <c r="H33" s="1"/>
  <c r="H32" i="9"/>
  <c r="H31" i="6"/>
  <c r="H28" i="4"/>
  <c r="H32"/>
  <c r="E39" i="2"/>
  <c r="C39" s="1"/>
  <c r="E39" i="12"/>
  <c r="H32" i="6"/>
  <c r="E40" i="18"/>
  <c r="E42"/>
  <c r="E43" s="1"/>
  <c r="C43" s="1"/>
  <c r="E41" i="17"/>
  <c r="G35"/>
  <c r="E39" i="21"/>
  <c r="H35" i="18"/>
  <c r="C41" i="17"/>
  <c r="E41" i="5"/>
  <c r="E42" s="1"/>
  <c r="C42" s="1"/>
  <c r="E39"/>
  <c r="C39" s="1"/>
  <c r="H30"/>
  <c r="H30" i="20"/>
  <c r="H31"/>
  <c r="E42" i="13"/>
  <c r="E41" i="21"/>
  <c r="E41" i="20"/>
  <c r="C41" s="1"/>
  <c r="C42" s="1"/>
  <c r="E39"/>
  <c r="C39" s="1"/>
  <c r="H34"/>
  <c r="E41" i="19"/>
  <c r="H27"/>
  <c r="E39"/>
  <c r="C39" s="1"/>
  <c r="E41" i="15"/>
  <c r="H26"/>
  <c r="E39"/>
  <c r="H29"/>
  <c r="H35" s="1"/>
  <c r="H34"/>
  <c r="E41" i="14"/>
  <c r="C41" s="1"/>
  <c r="E39"/>
  <c r="C39" s="1"/>
  <c r="E40" i="13"/>
  <c r="C40" s="1"/>
  <c r="E41" i="12"/>
  <c r="E39" i="11"/>
  <c r="C39" s="1"/>
  <c r="E37"/>
  <c r="C37" s="1"/>
  <c r="E41" i="9"/>
  <c r="H29"/>
  <c r="E39"/>
  <c r="C39" s="1"/>
  <c r="E41" i="8"/>
  <c r="E39"/>
  <c r="C39" s="1"/>
  <c r="H28"/>
  <c r="E41" i="7"/>
  <c r="E39"/>
  <c r="C39" s="1"/>
  <c r="H29" i="6"/>
  <c r="E41"/>
  <c r="C41" s="1"/>
  <c r="E39"/>
  <c r="C39" s="1"/>
  <c r="H30"/>
  <c r="H27" i="5"/>
  <c r="H31"/>
  <c r="H29"/>
  <c r="E41" i="4"/>
  <c r="E39"/>
  <c r="C39" s="1"/>
  <c r="H31"/>
  <c r="H27"/>
  <c r="F35" i="3"/>
  <c r="F31"/>
  <c r="F29"/>
  <c r="F27"/>
  <c r="F34"/>
  <c r="H34" s="1"/>
  <c r="F30"/>
  <c r="F32"/>
  <c r="F28"/>
  <c r="G26"/>
  <c r="G35"/>
  <c r="G31"/>
  <c r="H31" s="1"/>
  <c r="G29"/>
  <c r="G30"/>
  <c r="H30" s="1"/>
  <c r="G32"/>
  <c r="G28"/>
  <c r="G27"/>
  <c r="H29" i="4"/>
  <c r="E42"/>
  <c r="C42" s="1"/>
  <c r="G36" i="13"/>
  <c r="F26" i="3"/>
  <c r="G35" i="21"/>
  <c r="C40" i="18"/>
  <c r="C39" i="15"/>
  <c r="G26" i="2"/>
  <c r="G27"/>
  <c r="H27" s="1"/>
  <c r="G34"/>
  <c r="H34" s="1"/>
  <c r="G32"/>
  <c r="G31"/>
  <c r="G30"/>
  <c r="H30" s="1"/>
  <c r="G29"/>
  <c r="H29" s="1"/>
  <c r="G28"/>
  <c r="H28" s="1"/>
  <c r="C39" i="21"/>
  <c r="C41" i="15"/>
  <c r="F36" i="13"/>
  <c r="C39" i="12"/>
  <c r="E42"/>
  <c r="C42" s="1"/>
  <c r="H34" i="9"/>
  <c r="G35"/>
  <c r="G35" i="8"/>
  <c r="H28" i="5"/>
  <c r="H32"/>
  <c r="H27" i="9"/>
  <c r="H31"/>
  <c r="H29" i="8"/>
  <c r="H34"/>
  <c r="G35" i="6"/>
  <c r="H26" i="4"/>
  <c r="F35"/>
  <c r="G35"/>
  <c r="H26" i="21"/>
  <c r="F35"/>
  <c r="H34"/>
  <c r="H26" i="20"/>
  <c r="F35"/>
  <c r="G35"/>
  <c r="H26" i="19"/>
  <c r="H35" s="1"/>
  <c r="F35"/>
  <c r="G35"/>
  <c r="G36" i="18"/>
  <c r="H26"/>
  <c r="F36"/>
  <c r="H28"/>
  <c r="H30"/>
  <c r="H32"/>
  <c r="H27"/>
  <c r="H29"/>
  <c r="H31"/>
  <c r="H26" i="17"/>
  <c r="H35" s="1"/>
  <c r="F35" i="15"/>
  <c r="G35"/>
  <c r="H27" i="14"/>
  <c r="H29"/>
  <c r="H31"/>
  <c r="H32"/>
  <c r="H26"/>
  <c r="H28"/>
  <c r="H30"/>
  <c r="H34"/>
  <c r="G35"/>
  <c r="H26" i="13"/>
  <c r="H28"/>
  <c r="H30"/>
  <c r="H32"/>
  <c r="H27"/>
  <c r="H29"/>
  <c r="H31"/>
  <c r="H35"/>
  <c r="H26" i="12"/>
  <c r="H28"/>
  <c r="H30"/>
  <c r="H34"/>
  <c r="H32"/>
  <c r="H27"/>
  <c r="H29"/>
  <c r="H31"/>
  <c r="F35"/>
  <c r="G35"/>
  <c r="F33" i="11"/>
  <c r="H26" i="9"/>
  <c r="F35"/>
  <c r="H26" i="8"/>
  <c r="F35"/>
  <c r="H26" i="7"/>
  <c r="H28"/>
  <c r="H30"/>
  <c r="H34"/>
  <c r="H32"/>
  <c r="H27"/>
  <c r="H31"/>
  <c r="F35"/>
  <c r="G35"/>
  <c r="H27" i="6"/>
  <c r="H26"/>
  <c r="F35"/>
  <c r="F35" i="5"/>
  <c r="H26"/>
  <c r="H35" s="1"/>
  <c r="G35"/>
  <c r="H27" i="3"/>
  <c r="C42" i="18" l="1"/>
  <c r="E40" i="11"/>
  <c r="C40" s="1"/>
  <c r="H28" i="3"/>
  <c r="H29"/>
  <c r="H36" i="18"/>
  <c r="H35" i="20"/>
  <c r="E42" i="17"/>
  <c r="C42" s="1"/>
  <c r="H35" i="8"/>
  <c r="C41" i="5"/>
  <c r="H35" i="4"/>
  <c r="C41"/>
  <c r="E42" i="3"/>
  <c r="E40"/>
  <c r="C40" s="1"/>
  <c r="H32"/>
  <c r="H35"/>
  <c r="E41" i="2"/>
  <c r="F36" i="3"/>
  <c r="H35" i="9"/>
  <c r="G36" i="3"/>
  <c r="H35" i="21"/>
  <c r="E42" i="15"/>
  <c r="C42" s="1"/>
  <c r="H35" i="7"/>
  <c r="E42" i="14"/>
  <c r="C42" s="1"/>
  <c r="C41" i="12"/>
  <c r="E42" i="21"/>
  <c r="C42" s="1"/>
  <c r="C41"/>
  <c r="E42" i="19"/>
  <c r="C42" s="1"/>
  <c r="C41"/>
  <c r="E43" i="13"/>
  <c r="C43" s="1"/>
  <c r="C42"/>
  <c r="C41" i="9"/>
  <c r="E42"/>
  <c r="C42" s="1"/>
  <c r="E42" i="8"/>
  <c r="C42" s="1"/>
  <c r="C41"/>
  <c r="E42" i="6"/>
  <c r="C42" s="1"/>
  <c r="E42" i="20"/>
  <c r="C41" i="7"/>
  <c r="E42"/>
  <c r="C42" s="1"/>
  <c r="H35" i="6"/>
  <c r="H32" i="2"/>
  <c r="H31"/>
  <c r="G35"/>
  <c r="H26"/>
  <c r="F35"/>
  <c r="H35" i="14"/>
  <c r="H36" i="13"/>
  <c r="H35" i="12"/>
  <c r="H26" i="3"/>
  <c r="H36" l="1"/>
  <c r="E43"/>
  <c r="C43" s="1"/>
  <c r="C42"/>
  <c r="E42" i="2"/>
  <c r="C42" s="1"/>
  <c r="C41"/>
  <c r="H35"/>
  <c r="H27" i="1" l="1"/>
  <c r="H35"/>
  <c r="H28" l="1"/>
  <c r="H33"/>
  <c r="H31"/>
  <c r="H29"/>
  <c r="F36" l="1"/>
  <c r="H32" l="1"/>
  <c r="H36" s="1"/>
</calcChain>
</file>

<file path=xl/sharedStrings.xml><?xml version="1.0" encoding="utf-8"?>
<sst xmlns="http://schemas.openxmlformats.org/spreadsheetml/2006/main" count="1851" uniqueCount="185">
  <si>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</si>
  <si>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</si>
  <si>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</si>
  <si>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</si>
  <si>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</si>
  <si>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</si>
  <si>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</si>
  <si>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</si>
  <si>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</si>
  <si>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</si>
  <si>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</si>
  <si>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</si>
  <si>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</si>
  <si>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Харьковская 60</t>
  </si>
  <si>
    <t>2767,8 кв. м.</t>
  </si>
  <si>
    <t>352 кв. м. - асфальт</t>
  </si>
  <si>
    <t>Харьковская 62</t>
  </si>
  <si>
    <t>2769,5 кв. м.</t>
  </si>
  <si>
    <t>3684,1 кв. м. - грунт;
1193,7 кв. м. - асфальт</t>
  </si>
  <si>
    <t>Харьковская 62а</t>
  </si>
  <si>
    <t>3415,9 кв. м.</t>
  </si>
  <si>
    <t>Харьковская 68</t>
  </si>
  <si>
    <t>2112,3 кв. м.</t>
  </si>
  <si>
    <t>43,9 кв. м.</t>
  </si>
  <si>
    <t>1742,3 кв. м. - грунт;
281 кв. м. - асфальт</t>
  </si>
  <si>
    <t>Харьковская 68а</t>
  </si>
  <si>
    <t>2122,2 кв. м.</t>
  </si>
  <si>
    <t>1870,8 кв. м. - грунт;
281 кв. м. - асфальт</t>
  </si>
  <si>
    <t>Харьковская 70</t>
  </si>
  <si>
    <t>1576,1 кв. м.</t>
  </si>
  <si>
    <t>Харьковская 70а</t>
  </si>
  <si>
    <t>1571,9 кв. м.</t>
  </si>
  <si>
    <t>2403 кв. м. - грунт;
210 кв. м. - асфальт</t>
  </si>
  <si>
    <t>Харьковская 72</t>
  </si>
  <si>
    <t>2705,4 кв. м.</t>
  </si>
  <si>
    <t>170,3 кв. м.</t>
  </si>
  <si>
    <t>Харьковская 72а</t>
  </si>
  <si>
    <t>1589,3 кв. м.</t>
  </si>
  <si>
    <t>1869,8 кв. м. - грунт;
210 кв. м. - асфальт</t>
  </si>
  <si>
    <t>Харьковская 80</t>
  </si>
  <si>
    <t>1570,79 кв. м.</t>
  </si>
  <si>
    <t>89 кв. м.</t>
  </si>
  <si>
    <t>3237,6 кв. м. - грунт;
210 кв. м. - асфальт</t>
  </si>
  <si>
    <t>Харьковская 82</t>
  </si>
  <si>
    <t>2742,8 кв. м.</t>
  </si>
  <si>
    <t>5145 кв. м. - грунт;
352 кв. м. - асфальт</t>
  </si>
  <si>
    <t>Харьковская 84в</t>
  </si>
  <si>
    <t>2041 кв. м.</t>
  </si>
  <si>
    <t>Харьковская 86а</t>
  </si>
  <si>
    <t>2219,1 кв. м.</t>
  </si>
  <si>
    <t>2057,9 кв. м. - грунт;
454,2 кв. м. - асфальт</t>
  </si>
  <si>
    <t>Харьковская 88</t>
  </si>
  <si>
    <t>2134 кв. м.</t>
  </si>
  <si>
    <t>2122 кв. м. - грунт;
281 кв. м. - асфальт</t>
  </si>
  <si>
    <t>Харьковская 92</t>
  </si>
  <si>
    <t>1581,2 кв. м.</t>
  </si>
  <si>
    <t>2602,5 кв. м. - грунт;
342,9 кв. м. - асфальт</t>
  </si>
  <si>
    <t>Харьковская 92а</t>
  </si>
  <si>
    <t>1559 кв. м.</t>
  </si>
  <si>
    <t>55,4 кв. м.</t>
  </si>
  <si>
    <t>2053,3 кв. м. - грунт;
210 кв. м. - асфальт</t>
  </si>
  <si>
    <t>Харьковская 94</t>
  </si>
  <si>
    <t>1618,9 кв. м.</t>
  </si>
  <si>
    <t>2096,7 кв. м. - грунт;
277,3 кв. м. - асфальт</t>
  </si>
  <si>
    <t>Харьковская 96</t>
  </si>
  <si>
    <t>2742,1 кв. м.</t>
  </si>
  <si>
    <t xml:space="preserve"> кв. м.</t>
  </si>
  <si>
    <t xml:space="preserve"> кв. м. - грунт;кв. м. - асфальт</t>
  </si>
  <si>
    <t>Харьковская 96а</t>
  </si>
  <si>
    <t>1568,3 кв. м.</t>
  </si>
  <si>
    <t xml:space="preserve"> 0 кв. м.</t>
  </si>
  <si>
    <t>2525 кв. м. - грунт;
287,1 кв. м. - асфальт</t>
  </si>
  <si>
    <t>Харьковская 98</t>
  </si>
  <si>
    <t>2821,6 кв. м.</t>
  </si>
  <si>
    <t>Харьковская 100</t>
  </si>
  <si>
    <t>2706,9 кв. м.</t>
  </si>
  <si>
    <t>4323 кв. м. - грунт;
352 кв. м. - асфальт</t>
  </si>
  <si>
    <t>Директор ООО "Партнер-1"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</si>
  <si>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</si>
  <si>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</si>
  <si>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</si>
  <si>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</si>
  <si>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</si>
  <si>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</si>
  <si>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t>Техническое обслуживание внутридомового газового 
оборудования</t>
  </si>
  <si>
    <t>Рентабельность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</si>
  <si>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</si>
  <si>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</si>
  <si>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t>3.Выполнено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</si>
  <si>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</si>
  <si>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</si>
  <si>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 xml:space="preserve">Текущий ремонт </t>
  </si>
  <si>
    <t>Обслуживание ОПУ тепловой энергии</t>
  </si>
  <si>
    <t>Т. В. Павлова</t>
  </si>
  <si>
    <t>Виды работ и затрат</t>
  </si>
  <si>
    <t>периодичность выполнения работ и услуг</t>
  </si>
  <si>
    <t>стоимость выполненной работы/оказанной услуги</t>
  </si>
  <si>
    <t>согласно договора  управления МКД</t>
  </si>
  <si>
    <t>руб.</t>
  </si>
  <si>
    <t xml:space="preserve">согласно договора  </t>
  </si>
  <si>
    <t>постоянно</t>
  </si>
  <si>
    <t>начислено всего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</si>
  <si>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</si>
  <si>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>3187.2 кв. м</t>
  </si>
  <si>
    <t>1850.6 кв. м.</t>
  </si>
  <si>
    <t>1995,6 кв. м.</t>
  </si>
  <si>
    <t>1471,2 кв. м</t>
  </si>
  <si>
    <t>1495,1 кв. м</t>
  </si>
  <si>
    <t>2349,1 кв. м</t>
  </si>
  <si>
    <t>1511,7 кв. м.</t>
  </si>
  <si>
    <t>1389.1 кв. м</t>
  </si>
  <si>
    <t>2567,1 кв. м</t>
  </si>
  <si>
    <t>2065.0 кв. м.</t>
  </si>
  <si>
    <t>1993,5 кв. м.</t>
  </si>
  <si>
    <t>1413,4 кв. м.</t>
  </si>
  <si>
    <t>2622,7 кв. м.</t>
  </si>
  <si>
    <t>единица измерения работы/              услуги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</si>
  <si>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инвентарь;
- покос сорных трав</t>
    </r>
  </si>
  <si>
    <t>Приложение № 1</t>
  </si>
  <si>
    <t>Приложение № 4</t>
  </si>
  <si>
    <t>к протоколу №____общего собрания собственников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</si>
  <si>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</si>
  <si>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t>Разница                       (+) экономия, (-) долг</t>
  </si>
  <si>
    <t>2580.1 кв. м</t>
  </si>
  <si>
    <t>2569.3 кв. м</t>
  </si>
  <si>
    <t>1806.1 кв. м</t>
  </si>
  <si>
    <t>1492.1 кв. м</t>
  </si>
  <si>
    <t>1476,3 кв. м</t>
  </si>
  <si>
    <t>2551.9 кв. м</t>
  </si>
  <si>
    <t>1479,1 кв. м</t>
  </si>
  <si>
    <t>2357,2 кв. м</t>
  </si>
  <si>
    <t>встроенные</t>
  </si>
  <si>
    <t>161,6 кв. м</t>
  </si>
  <si>
    <t>сод.жилья</t>
  </si>
  <si>
    <t>тек. ремонт</t>
  </si>
  <si>
    <t>42,5 кв. м.</t>
  </si>
  <si>
    <t>согласно договора  оказания услуг по содержанию и выполнению работ по ремонту общего имущества МКД</t>
  </si>
  <si>
    <t>круглосуточно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</si>
  <si>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                            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</si>
  <si>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         -затраты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</si>
  <si>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         -амортизация;       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</si>
  <si>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Санитарное содержание лестничных клеток:</t>
    </r>
    <r>
      <rPr>
        <sz val="10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</si>
  <si>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rFont val="Times New Roman"/>
        <family val="1"/>
        <charset val="204"/>
      </rPr>
      <t>Санитарное содержание придомовой территории:</t>
    </r>
    <r>
      <rPr>
        <sz val="10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</si>
  <si>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r>
      <rPr>
        <b/>
        <sz val="10"/>
        <rFont val="Times New Roman"/>
        <family val="1"/>
        <charset val="204"/>
      </rPr>
      <t>Содержание аварийно-диспетчерской службы:</t>
    </r>
    <r>
      <rPr>
        <sz val="10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</si>
  <si>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rFont val="Times New Roman"/>
        <family val="1"/>
        <charset val="204"/>
      </rPr>
      <t>Общеэксплуатационные расходы:</t>
    </r>
    <r>
      <rPr>
        <sz val="10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</si>
  <si>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</si>
  <si>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r>
      <t>4.Остаток на начало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</si>
  <si>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r>
      <t>4.Остаток на конец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</si>
  <si>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t>начислено содержание жилья</t>
  </si>
  <si>
    <t>факт содержание жилья</t>
  </si>
  <si>
    <t>_________________________</t>
  </si>
  <si>
    <t>__________________________</t>
  </si>
  <si>
    <t>помещения МКД № 60 по ул. Харьковская, г. Новошахтинска</t>
  </si>
  <si>
    <t>помещения МКД № 62  по ул.Харьковская, г. Новошахтинска</t>
  </si>
  <si>
    <t>помещения МКД № 62А по ул. Харьковская, г. Новошахтинска</t>
  </si>
  <si>
    <t>помещения МКД № 68 по ул. Харьковская, г. Новошахтинска</t>
  </si>
  <si>
    <t>помещения МКД № 68А по ул. Харьковская, г. Новошахтинска</t>
  </si>
  <si>
    <t>помещения МКД № 70 по ул. Харьковская, г. Новошахтинска</t>
  </si>
  <si>
    <t>помещения МКД № 70А по ул. Харьковская, г. Новошахтинска</t>
  </si>
  <si>
    <t>помещения МКД № 72 по ул. Харьковская, г. Новошахтинска</t>
  </si>
  <si>
    <t>помещения МКД № 72А по ул. Харьковская, г. Новошахтинска</t>
  </si>
  <si>
    <t>помещения МКД № 82 по ул. Харьковская, г. Новошахтинска</t>
  </si>
  <si>
    <t>помещения МКД № 84В по ул. Харьковская, г. Новошахтинска</t>
  </si>
  <si>
    <t>помещения МКД № 86А по ул. Харьковская, г. Новошахтинска</t>
  </si>
  <si>
    <t>помещения МКД № 88 по ул. Харьковская, г. Новошахтинска</t>
  </si>
  <si>
    <t>помещения МКД № 92 по ул. Харьковская, г. Новошахтинска</t>
  </si>
  <si>
    <t>помещения МКД № 92А по ул. Харьковская, г. Новошахтинска</t>
  </si>
  <si>
    <t>помещения МКД № 94 по ул. Харьковская, г. Новошахтинска</t>
  </si>
  <si>
    <t>помещения МКД № 96 по ул. Харьковская г. Новошахтинска</t>
  </si>
  <si>
    <t>помещения МКД № 96А по ул. Харьковская, г. Новошахтинска</t>
  </si>
  <si>
    <t>помещения МКД № 98 по ул. Харьковская, г. Новошахтинска</t>
  </si>
  <si>
    <t>помещения МКД № 100  по ул. Харьковская, г. Новошахтинска</t>
  </si>
  <si>
    <t>Валка деревьев</t>
  </si>
  <si>
    <t>по заявкам</t>
  </si>
  <si>
    <t>период с 01.07.2013 года по 31.12.2020 года</t>
  </si>
  <si>
    <t>Р.А. Абдуллаев</t>
  </si>
  <si>
    <t>Н.Е. Потокина</t>
  </si>
  <si>
    <t>Переходящие остатки денежных средств на 01.01.2022 года</t>
  </si>
  <si>
    <t>период с 01.07.2013 года по 31.12.2021 года</t>
  </si>
  <si>
    <t>от _______________________2023 г.</t>
  </si>
  <si>
    <t>Ежегодный отчет Управляющей организации ООО "Партнер-1" о выполнении Договора о деятельности за отчетный период с 01.01.2022 г. по 31.12.2022 г.</t>
  </si>
  <si>
    <t>Отчет об оказанных услугах и выполненных работах по содержанию и текущему ремонту общего имущества в МКД за 2022 год</t>
  </si>
  <si>
    <t>ст-ть на 1 кв. м общей жилой  площади (руб. в мес.)  2022</t>
  </si>
  <si>
    <t>период с 01.07.2013 года по 31.12.2022 года</t>
  </si>
  <si>
    <t>Переходящие остатки денежных средств на 01.01.2023 года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</si>
</sst>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Fill="1"/>
    <xf numFmtId="2" fontId="2" fillId="0" borderId="0" xfId="0" applyNumberFormat="1" applyFont="1" applyFill="1"/>
    <xf numFmtId="0" fontId="5" fillId="0" borderId="0" xfId="0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/>
    <xf numFmtId="0" fontId="5" fillId="0" borderId="7" xfId="0" applyFont="1" applyFill="1" applyBorder="1" applyAlignment="1">
      <alignment vertical="top" wrapText="1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7" xfId="0" applyFont="1" applyFill="1" applyBorder="1" applyAlignment="1">
      <alignment vertical="top" wrapText="1"/>
    </xf>
    <xf numFmtId="0" fontId="2" fillId="0" borderId="0" xfId="0" applyFont="1" applyFill="1" applyBorder="1"/>
    <xf numFmtId="0" fontId="10" fillId="0" borderId="8" xfId="0" applyFont="1" applyFill="1" applyBorder="1" applyAlignment="1">
      <alignment horizontal="left" wrapText="1"/>
    </xf>
    <xf numFmtId="0" fontId="3" fillId="0" borderId="42" xfId="0" applyFont="1" applyFill="1" applyBorder="1"/>
    <xf numFmtId="0" fontId="10" fillId="0" borderId="38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 vertical="center" wrapText="1"/>
    </xf>
    <xf numFmtId="2" fontId="5" fillId="0" borderId="39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/>
    <xf numFmtId="2" fontId="3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/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/>
    </xf>
    <xf numFmtId="0" fontId="3" fillId="0" borderId="42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2" fontId="12" fillId="0" borderId="0" xfId="0" applyNumberFormat="1" applyFont="1" applyFill="1"/>
    <xf numFmtId="0" fontId="13" fillId="0" borderId="29" xfId="0" applyFont="1" applyFill="1" applyBorder="1" applyAlignment="1">
      <alignment vertical="top" wrapText="1"/>
    </xf>
    <xf numFmtId="0" fontId="17" fillId="0" borderId="26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center" vertical="center" wrapText="1"/>
    </xf>
    <xf numFmtId="2" fontId="13" fillId="0" borderId="31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2" fontId="16" fillId="0" borderId="2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2" fontId="16" fillId="0" borderId="0" xfId="0" applyNumberFormat="1" applyFont="1" applyFill="1"/>
    <xf numFmtId="0" fontId="13" fillId="0" borderId="7" xfId="0" applyFont="1" applyFill="1" applyBorder="1" applyAlignment="1">
      <alignment vertical="top" wrapText="1"/>
    </xf>
    <xf numFmtId="2" fontId="13" fillId="0" borderId="15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/>
    <xf numFmtId="2" fontId="15" fillId="0" borderId="0" xfId="0" applyNumberFormat="1" applyFont="1" applyFill="1"/>
    <xf numFmtId="0" fontId="16" fillId="0" borderId="7" xfId="0" applyFont="1" applyFill="1" applyBorder="1" applyAlignment="1">
      <alignment vertical="top" wrapText="1"/>
    </xf>
    <xf numFmtId="0" fontId="12" fillId="0" borderId="0" xfId="0" applyFont="1" applyFill="1" applyBorder="1"/>
    <xf numFmtId="0" fontId="18" fillId="0" borderId="8" xfId="0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left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top" wrapText="1"/>
    </xf>
    <xf numFmtId="0" fontId="18" fillId="0" borderId="38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center" vertical="center" wrapText="1"/>
    </xf>
    <xf numFmtId="2" fontId="13" fillId="0" borderId="39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2" xfId="0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41" xfId="0" applyNumberFormat="1" applyFont="1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0" fontId="13" fillId="0" borderId="3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2" fontId="13" fillId="0" borderId="33" xfId="0" applyNumberFormat="1" applyFont="1" applyFill="1" applyBorder="1" applyAlignment="1"/>
    <xf numFmtId="2" fontId="13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2" fontId="13" fillId="0" borderId="0" xfId="0" applyNumberFormat="1" applyFont="1" applyFill="1" applyBorder="1"/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16" fillId="0" borderId="0" xfId="0" applyFont="1" applyFill="1" applyAlignment="1"/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12" xfId="0" applyFont="1" applyFill="1" applyBorder="1"/>
    <xf numFmtId="2" fontId="3" fillId="0" borderId="16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3" fillId="0" borderId="28" xfId="0" applyFont="1" applyFill="1" applyBorder="1" applyAlignment="1"/>
    <xf numFmtId="0" fontId="4" fillId="0" borderId="0" xfId="0" applyFont="1" applyFill="1" applyBorder="1" applyAlignment="1">
      <alignment horizontal="center" wrapText="1" shrinkToFit="1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0" applyNumberFormat="1" applyFont="1" applyFill="1" applyBorder="1" applyAlignment="1">
      <alignment horizontal="center" wrapText="1"/>
    </xf>
    <xf numFmtId="2" fontId="3" fillId="0" borderId="2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5" fillId="0" borderId="7" xfId="0" applyFont="1" applyFill="1" applyBorder="1"/>
    <xf numFmtId="0" fontId="5" fillId="0" borderId="23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2" fontId="3" fillId="0" borderId="28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33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0" fontId="10" fillId="0" borderId="0" xfId="0" applyFont="1" applyFill="1"/>
    <xf numFmtId="2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wrapText="1"/>
    </xf>
    <xf numFmtId="2" fontId="10" fillId="0" borderId="0" xfId="0" applyNumberFormat="1" applyFont="1" applyFill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 wrapText="1"/>
    </xf>
    <xf numFmtId="0" fontId="10" fillId="0" borderId="26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Border="1"/>
    <xf numFmtId="2" fontId="1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9" xfId="0" applyFont="1" applyFill="1" applyBorder="1"/>
    <xf numFmtId="164" fontId="21" fillId="0" borderId="9" xfId="0" applyNumberFormat="1" applyFont="1" applyFill="1" applyBorder="1"/>
    <xf numFmtId="2" fontId="21" fillId="0" borderId="9" xfId="0" applyNumberFormat="1" applyFont="1" applyFill="1" applyBorder="1"/>
    <xf numFmtId="0" fontId="22" fillId="0" borderId="0" xfId="0" applyFont="1" applyFill="1"/>
    <xf numFmtId="0" fontId="21" fillId="0" borderId="0" xfId="0" applyFont="1" applyFill="1" applyAlignment="1">
      <alignment horizontal="center" vertical="center"/>
    </xf>
    <xf numFmtId="2" fontId="23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Border="1" applyAlignment="1">
      <alignment horizontal="center"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16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/>
    </xf>
    <xf numFmtId="2" fontId="5" fillId="0" borderId="26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5" fillId="0" borderId="39" xfId="0" applyNumberFormat="1" applyFont="1" applyFill="1" applyBorder="1" applyAlignment="1">
      <alignment horizontal="center"/>
    </xf>
    <xf numFmtId="2" fontId="5" fillId="0" borderId="38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66" fontId="3" fillId="0" borderId="21" xfId="0" applyNumberFormat="1" applyFont="1" applyFill="1" applyBorder="1" applyAlignment="1">
      <alignment horizontal="center"/>
    </xf>
    <xf numFmtId="166" fontId="3" fillId="0" borderId="2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0" borderId="27" xfId="0" applyFont="1" applyFill="1" applyBorder="1" applyAlignment="1">
      <alignment horizontal="center" wrapText="1" shrinkToFit="1"/>
    </xf>
    <xf numFmtId="2" fontId="11" fillId="0" borderId="36" xfId="0" applyNumberFormat="1" applyFont="1" applyFill="1" applyBorder="1" applyAlignment="1">
      <alignment horizontal="center" vertical="center" wrapText="1"/>
    </xf>
    <xf numFmtId="2" fontId="11" fillId="0" borderId="3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2" fontId="5" fillId="0" borderId="20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" xfId="0" applyFill="1" applyBorder="1"/>
    <xf numFmtId="0" fontId="0" fillId="0" borderId="43" xfId="0" applyFill="1" applyBorder="1"/>
    <xf numFmtId="0" fontId="0" fillId="0" borderId="4" xfId="0" applyFill="1" applyBorder="1"/>
    <xf numFmtId="0" fontId="0" fillId="0" borderId="8" xfId="0" applyFill="1" applyBorder="1"/>
    <xf numFmtId="0" fontId="9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center" vertical="center" wrapText="1" shrinkToFit="1"/>
    </xf>
    <xf numFmtId="0" fontId="0" fillId="0" borderId="32" xfId="0" applyFill="1" applyBorder="1"/>
    <xf numFmtId="0" fontId="0" fillId="0" borderId="35" xfId="0" applyFill="1" applyBorder="1"/>
    <xf numFmtId="0" fontId="11" fillId="0" borderId="47" xfId="0" applyFont="1" applyFill="1" applyBorder="1" applyAlignment="1">
      <alignment horizontal="center" vertical="center"/>
    </xf>
    <xf numFmtId="0" fontId="0" fillId="0" borderId="48" xfId="0" applyFill="1" applyBorder="1"/>
    <xf numFmtId="0" fontId="11" fillId="0" borderId="49" xfId="0" applyFont="1" applyFill="1" applyBorder="1" applyAlignment="1">
      <alignment horizontal="center" vertical="center" wrapText="1" shrinkToFit="1"/>
    </xf>
    <xf numFmtId="0" fontId="0" fillId="0" borderId="50" xfId="0" applyFill="1" applyBorder="1"/>
    <xf numFmtId="0" fontId="0" fillId="0" borderId="37" xfId="0" applyFill="1" applyBorder="1"/>
    <xf numFmtId="0" fontId="0" fillId="0" borderId="20" xfId="0" applyFill="1" applyBorder="1"/>
    <xf numFmtId="0" fontId="0" fillId="0" borderId="19" xfId="0" applyFill="1" applyBorder="1"/>
    <xf numFmtId="0" fontId="0" fillId="0" borderId="22" xfId="0" applyFill="1" applyBorder="1"/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left"/>
    </xf>
    <xf numFmtId="0" fontId="20" fillId="0" borderId="4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57"/>
  <sheetViews>
    <sheetView topLeftCell="B33" zoomScale="110" zoomScaleNormal="110" workbookViewId="0">
      <selection activeCell="B48" sqref="B48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7109375" style="1" customWidth="1"/>
    <col min="4" max="4" width="8.28515625" style="1" customWidth="1"/>
    <col min="5" max="5" width="9.42578125" style="15" customWidth="1"/>
    <col min="6" max="6" width="9.7109375" style="3" customWidth="1"/>
    <col min="7" max="7" width="10.28515625" style="3" customWidth="1"/>
    <col min="8" max="8" width="10.5703125" style="3" customWidth="1"/>
    <col min="9" max="9" width="17.42578125" style="1" customWidth="1"/>
    <col min="10" max="10" width="15.42578125" style="1" customWidth="1"/>
    <col min="11" max="11" width="11.140625" style="1" customWidth="1"/>
    <col min="12" max="12" width="11.85546875" style="1" customWidth="1"/>
    <col min="13" max="13" width="20.28515625" style="188" customWidth="1"/>
    <col min="14" max="14" width="21" style="188" customWidth="1"/>
    <col min="15" max="16" width="11.85546875" style="1" customWidth="1"/>
    <col min="17" max="16384" width="9.140625" style="1"/>
  </cols>
  <sheetData>
    <row r="1" spans="1:12">
      <c r="B1" s="253" t="s">
        <v>119</v>
      </c>
      <c r="C1" s="253"/>
      <c r="D1" s="253"/>
      <c r="E1" s="253"/>
      <c r="F1" s="253"/>
      <c r="G1" s="253"/>
      <c r="H1" s="253"/>
    </row>
    <row r="2" spans="1:12">
      <c r="B2" s="253" t="s">
        <v>120</v>
      </c>
      <c r="C2" s="253"/>
      <c r="D2" s="253"/>
      <c r="E2" s="253"/>
      <c r="F2" s="253"/>
      <c r="G2" s="253"/>
      <c r="H2" s="253"/>
    </row>
    <row r="3" spans="1:12">
      <c r="B3" s="253" t="s">
        <v>152</v>
      </c>
      <c r="C3" s="253"/>
      <c r="D3" s="253"/>
      <c r="E3" s="253"/>
      <c r="F3" s="253"/>
      <c r="G3" s="253"/>
      <c r="H3" s="253"/>
    </row>
    <row r="4" spans="1:12">
      <c r="B4" s="253" t="s">
        <v>179</v>
      </c>
      <c r="C4" s="253"/>
      <c r="D4" s="253"/>
      <c r="E4" s="253"/>
      <c r="F4" s="253"/>
      <c r="G4" s="253"/>
      <c r="H4" s="253"/>
    </row>
    <row r="5" spans="1:12" ht="15.75" customHeight="1">
      <c r="A5" s="221"/>
      <c r="B5" s="254" t="s">
        <v>180</v>
      </c>
      <c r="C5" s="254"/>
      <c r="D5" s="254"/>
      <c r="E5" s="254"/>
      <c r="F5" s="254"/>
      <c r="G5" s="254"/>
      <c r="H5" s="254"/>
      <c r="I5" s="14"/>
      <c r="J5" s="14"/>
      <c r="K5" s="14"/>
    </row>
    <row r="6" spans="1:12" ht="21" customHeight="1">
      <c r="A6" s="221"/>
      <c r="B6" s="254"/>
      <c r="C6" s="254"/>
      <c r="D6" s="254"/>
      <c r="E6" s="254"/>
      <c r="F6" s="254"/>
      <c r="G6" s="254"/>
      <c r="H6" s="254"/>
      <c r="I6" s="14"/>
      <c r="J6" s="14"/>
      <c r="K6" s="14"/>
    </row>
    <row r="7" spans="1:12" ht="9.75" customHeight="1"/>
    <row r="8" spans="1:12" ht="14.25" customHeight="1">
      <c r="B8" s="169" t="s">
        <v>0</v>
      </c>
      <c r="C8" s="169"/>
      <c r="D8" s="169"/>
      <c r="E8" s="170"/>
      <c r="F8" s="261" t="s">
        <v>13</v>
      </c>
      <c r="G8" s="261"/>
      <c r="H8" s="261"/>
    </row>
    <row r="9" spans="1:12" ht="12" customHeight="1">
      <c r="B9" s="169" t="s">
        <v>1</v>
      </c>
      <c r="C9" s="169"/>
      <c r="D9" s="169"/>
      <c r="E9" s="170"/>
      <c r="F9" s="213">
        <v>1972</v>
      </c>
      <c r="G9" s="213"/>
      <c r="H9" s="213"/>
    </row>
    <row r="10" spans="1:12" hidden="1" outlineLevel="1">
      <c r="B10" s="169" t="s">
        <v>2</v>
      </c>
      <c r="C10" s="169"/>
      <c r="D10" s="169"/>
      <c r="E10" s="170"/>
      <c r="F10" s="213">
        <v>4</v>
      </c>
      <c r="G10" s="213"/>
      <c r="H10" s="213"/>
    </row>
    <row r="11" spans="1:12" hidden="1" outlineLevel="1">
      <c r="B11" s="169" t="s">
        <v>3</v>
      </c>
      <c r="C11" s="169"/>
      <c r="D11" s="169"/>
      <c r="E11" s="170"/>
      <c r="F11" s="213">
        <v>63</v>
      </c>
      <c r="G11" s="213"/>
      <c r="H11" s="213"/>
    </row>
    <row r="12" spans="1:12" ht="30.75" hidden="1" customHeight="1" outlineLevel="1">
      <c r="B12" s="171" t="s">
        <v>4</v>
      </c>
      <c r="C12" s="171"/>
      <c r="D12" s="171"/>
      <c r="E12" s="172"/>
      <c r="F12" s="213" t="s">
        <v>14</v>
      </c>
      <c r="G12" s="213"/>
      <c r="H12" s="213"/>
    </row>
    <row r="13" spans="1:12" ht="14.25" customHeight="1" collapsed="1">
      <c r="B13" s="169" t="s">
        <v>5</v>
      </c>
      <c r="C13" s="169"/>
      <c r="D13" s="169"/>
      <c r="E13" s="170"/>
      <c r="F13" s="213" t="s">
        <v>123</v>
      </c>
      <c r="G13" s="213"/>
      <c r="H13" s="213"/>
      <c r="L13" s="5"/>
    </row>
    <row r="14" spans="1:12" hidden="1" outlineLevel="1">
      <c r="B14" s="1" t="s">
        <v>6</v>
      </c>
      <c r="F14" s="162" t="s">
        <v>7</v>
      </c>
      <c r="G14" s="162"/>
      <c r="H14" s="162"/>
    </row>
    <row r="15" spans="1:12" ht="30.75" hidden="1" customHeight="1" outlineLevel="1">
      <c r="B15" s="16" t="s">
        <v>8</v>
      </c>
      <c r="C15" s="16"/>
      <c r="D15" s="16"/>
      <c r="E15" s="17"/>
      <c r="F15" s="262" t="s">
        <v>15</v>
      </c>
      <c r="G15" s="262"/>
      <c r="H15" s="162"/>
      <c r="L15" s="5"/>
    </row>
    <row r="16" spans="1:12" ht="18" customHeight="1" collapsed="1" thickBot="1">
      <c r="B16" s="240" t="s">
        <v>177</v>
      </c>
      <c r="C16" s="240"/>
      <c r="D16" s="240"/>
      <c r="E16" s="240"/>
      <c r="F16" s="240"/>
      <c r="G16" s="240"/>
      <c r="H16" s="240"/>
      <c r="L16" s="5"/>
    </row>
    <row r="17" spans="2:14" ht="43.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L17" s="5"/>
    </row>
    <row r="18" spans="2:14" ht="15" customHeight="1">
      <c r="B18" s="156" t="s">
        <v>11</v>
      </c>
      <c r="C18" s="266">
        <v>4077406.0700000003</v>
      </c>
      <c r="D18" s="267"/>
      <c r="E18" s="228">
        <v>2906234.49</v>
      </c>
      <c r="F18" s="229"/>
      <c r="G18" s="228">
        <v>1171171.58</v>
      </c>
      <c r="H18" s="244"/>
      <c r="L18" s="5"/>
    </row>
    <row r="19" spans="2:14" ht="14.25" customHeight="1">
      <c r="B19" s="157" t="s">
        <v>12</v>
      </c>
      <c r="C19" s="230">
        <v>3847942.9600000004</v>
      </c>
      <c r="D19" s="268"/>
      <c r="E19" s="230">
        <v>2746531.1500000004</v>
      </c>
      <c r="F19" s="231"/>
      <c r="G19" s="230">
        <v>1101411.81</v>
      </c>
      <c r="H19" s="241"/>
      <c r="L19" s="5"/>
    </row>
    <row r="20" spans="2:14" ht="15.75" customHeight="1" thickBot="1">
      <c r="B20" s="158" t="s">
        <v>88</v>
      </c>
      <c r="C20" s="269">
        <v>3959735.5025499994</v>
      </c>
      <c r="D20" s="270"/>
      <c r="E20" s="232">
        <v>2929330.5025499994</v>
      </c>
      <c r="F20" s="233"/>
      <c r="G20" s="232">
        <v>1030405</v>
      </c>
      <c r="H20" s="242"/>
      <c r="L20" s="5"/>
    </row>
    <row r="21" spans="2:14" ht="30" customHeight="1" thickBot="1">
      <c r="B21" s="159" t="s">
        <v>146</v>
      </c>
      <c r="C21" s="234">
        <f>C19-C20</f>
        <v>-111792.54254999897</v>
      </c>
      <c r="D21" s="235"/>
      <c r="E21" s="245">
        <f>E19-E20</f>
        <v>-182799.35254999902</v>
      </c>
      <c r="F21" s="246"/>
      <c r="G21" s="245">
        <f>G19-G20</f>
        <v>71006.810000000056</v>
      </c>
      <c r="H21" s="247"/>
      <c r="L21" s="5"/>
    </row>
    <row r="22" spans="2:14" ht="11.25" customHeight="1">
      <c r="B22" s="16"/>
      <c r="C22" s="16"/>
      <c r="D22" s="16"/>
      <c r="E22" s="17"/>
      <c r="F22" s="214"/>
      <c r="G22" s="214"/>
      <c r="H22" s="162"/>
      <c r="L22" s="5"/>
    </row>
    <row r="23" spans="2:14" ht="29.2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4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42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314339.90999999997</v>
      </c>
      <c r="N25" s="190">
        <f>M25*1.05</f>
        <v>330056.90549999999</v>
      </c>
    </row>
    <row r="26" spans="2:14" s="209" customFormat="1" ht="42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 t="shared" ref="F26:F32" si="0">$M$25/$M$26*E26</f>
        <v>32763.058466076691</v>
      </c>
      <c r="G26" s="25">
        <f t="shared" ref="G26:G32" si="1">$N$25/$N$26*E26</f>
        <v>34401.211389380529</v>
      </c>
      <c r="H26" s="26">
        <f>F26-G26</f>
        <v>-1638.1529233038382</v>
      </c>
      <c r="I26" s="27"/>
      <c r="L26" s="28"/>
      <c r="M26" s="191">
        <f>E36-E34</f>
        <v>10.170000000000002</v>
      </c>
      <c r="N26" s="191">
        <f>E36-E34</f>
        <v>10.170000000000002</v>
      </c>
    </row>
    <row r="27" spans="2:14" s="2" customFormat="1" ht="51">
      <c r="B27" s="29" t="s">
        <v>117</v>
      </c>
      <c r="C27" s="21" t="s">
        <v>97</v>
      </c>
      <c r="D27" s="22" t="s">
        <v>98</v>
      </c>
      <c r="E27" s="30">
        <v>1.19</v>
      </c>
      <c r="F27" s="24">
        <f t="shared" si="0"/>
        <v>36781.169410029492</v>
      </c>
      <c r="G27" s="25">
        <f t="shared" si="1"/>
        <v>38620.227880530969</v>
      </c>
      <c r="H27" s="26">
        <f t="shared" ref="H27:H33" si="2">F27-G27</f>
        <v>-1839.0584705014771</v>
      </c>
      <c r="I27" s="32"/>
      <c r="M27" s="192"/>
      <c r="N27" s="192"/>
    </row>
    <row r="28" spans="2:14" ht="28.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9890.7346312684349</v>
      </c>
      <c r="G28" s="25">
        <f t="shared" si="1"/>
        <v>10385.271362831858</v>
      </c>
      <c r="H28" s="26">
        <f t="shared" si="2"/>
        <v>-494.53673156342302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0.33</v>
      </c>
      <c r="F29" s="24">
        <f t="shared" si="0"/>
        <v>10199.820088495573</v>
      </c>
      <c r="G29" s="25">
        <f t="shared" si="1"/>
        <v>10709.811092920352</v>
      </c>
      <c r="H29" s="26">
        <f t="shared" si="2"/>
        <v>-509.99100442477902</v>
      </c>
      <c r="I29" s="34"/>
      <c r="L29" s="5"/>
    </row>
    <row r="30" spans="2:14" hidden="1">
      <c r="B30" s="33" t="s">
        <v>172</v>
      </c>
      <c r="C30" s="182" t="s">
        <v>173</v>
      </c>
      <c r="D30" s="22" t="s">
        <v>98</v>
      </c>
      <c r="E30" s="30"/>
      <c r="F30" s="24"/>
      <c r="G30" s="25"/>
      <c r="H30" s="26">
        <f t="shared" si="2"/>
        <v>0</v>
      </c>
      <c r="I30" s="34"/>
      <c r="L30" s="5"/>
    </row>
    <row r="31" spans="2:14" ht="51">
      <c r="B31" s="29" t="s">
        <v>87</v>
      </c>
      <c r="C31" s="21" t="s">
        <v>137</v>
      </c>
      <c r="D31" s="22" t="s">
        <v>98</v>
      </c>
      <c r="E31" s="30">
        <v>1.18</v>
      </c>
      <c r="F31" s="24">
        <f t="shared" si="0"/>
        <v>36472.08395280235</v>
      </c>
      <c r="G31" s="25">
        <f t="shared" si="1"/>
        <v>38295.688150442467</v>
      </c>
      <c r="H31" s="26">
        <f t="shared" si="2"/>
        <v>-1823.6041976401175</v>
      </c>
      <c r="I31" s="34"/>
    </row>
    <row r="32" spans="2:14" s="2" customFormat="1" ht="210" customHeight="1">
      <c r="B32" s="29" t="s">
        <v>138</v>
      </c>
      <c r="C32" s="21" t="s">
        <v>100</v>
      </c>
      <c r="D32" s="22" t="s">
        <v>98</v>
      </c>
      <c r="E32" s="30">
        <v>5.61</v>
      </c>
      <c r="F32" s="24">
        <f t="shared" si="0"/>
        <v>173396.94150442476</v>
      </c>
      <c r="G32" s="25">
        <f t="shared" si="1"/>
        <v>182066.788579646</v>
      </c>
      <c r="H32" s="26">
        <f t="shared" si="2"/>
        <v>-8669.8470752212452</v>
      </c>
      <c r="I32" s="32"/>
      <c r="L32" s="4"/>
      <c r="M32" s="192"/>
      <c r="N32" s="192"/>
    </row>
    <row r="33" spans="2:17" ht="108" customHeight="1">
      <c r="B33" s="29" t="s">
        <v>102</v>
      </c>
      <c r="C33" s="21" t="s">
        <v>97</v>
      </c>
      <c r="D33" s="22" t="s">
        <v>98</v>
      </c>
      <c r="E33" s="30">
        <v>0.24</v>
      </c>
      <c r="F33" s="24">
        <f>$M$25/$M$26*E33</f>
        <v>7418.0509734513253</v>
      </c>
      <c r="G33" s="25">
        <f>$N$25/$N$26*E33</f>
        <v>7788.9535221238921</v>
      </c>
      <c r="H33" s="26">
        <f t="shared" si="2"/>
        <v>-370.90254867256681</v>
      </c>
      <c r="I33" s="34"/>
    </row>
    <row r="34" spans="2:17" ht="34.5" customHeight="1">
      <c r="B34" s="33" t="s">
        <v>91</v>
      </c>
      <c r="C34" s="21" t="s">
        <v>97</v>
      </c>
      <c r="D34" s="22" t="s">
        <v>98</v>
      </c>
      <c r="E34" s="30">
        <v>5.08</v>
      </c>
      <c r="F34" s="24">
        <v>157015.41</v>
      </c>
      <c r="G34" s="31">
        <v>196477</v>
      </c>
      <c r="H34" s="26">
        <f>F34-G34</f>
        <v>-39461.589999999997</v>
      </c>
      <c r="I34" s="34"/>
      <c r="L34" s="5"/>
    </row>
    <row r="35" spans="2:17" ht="16.5" thickBot="1">
      <c r="B35" s="36" t="s">
        <v>85</v>
      </c>
      <c r="C35" s="37" t="s">
        <v>100</v>
      </c>
      <c r="D35" s="38" t="s">
        <v>98</v>
      </c>
      <c r="E35" s="39">
        <v>0.24</v>
      </c>
      <c r="F35" s="24">
        <f>$M$25/$M$26*E35</f>
        <v>7418.0509734513253</v>
      </c>
      <c r="G35" s="25">
        <f>$N$25/$N$26*E35</f>
        <v>7788.9535221238921</v>
      </c>
      <c r="H35" s="26">
        <f>F35-G35</f>
        <v>-370.90254867256681</v>
      </c>
      <c r="I35" s="34"/>
    </row>
    <row r="36" spans="2:17" ht="16.5" thickBot="1">
      <c r="B36" s="40" t="s">
        <v>89</v>
      </c>
      <c r="C36" s="41"/>
      <c r="D36" s="41"/>
      <c r="E36" s="42">
        <f>SUM(E26:E35)</f>
        <v>15.250000000000002</v>
      </c>
      <c r="F36" s="43">
        <f>SUM(F26:F35)</f>
        <v>471355.32000000007</v>
      </c>
      <c r="G36" s="44">
        <f>SUM(G26:G35)</f>
        <v>526533.90549999999</v>
      </c>
      <c r="H36" s="45">
        <f>SUM(H26:H35)</f>
        <v>-55178.585500000008</v>
      </c>
      <c r="I36" s="66"/>
    </row>
    <row r="37" spans="2:17" ht="12" customHeight="1">
      <c r="B37" s="5"/>
      <c r="C37" s="5"/>
      <c r="D37" s="5"/>
      <c r="G37" s="15"/>
    </row>
    <row r="38" spans="2:17" ht="15" customHeight="1" thickBot="1">
      <c r="B38" s="240" t="s">
        <v>184</v>
      </c>
      <c r="C38" s="240"/>
      <c r="D38" s="240"/>
      <c r="E38" s="240"/>
      <c r="F38" s="240"/>
      <c r="G38" s="240"/>
      <c r="H38" s="240"/>
      <c r="I38" s="150"/>
      <c r="J38" s="46"/>
    </row>
    <row r="39" spans="2:17" s="3" customFormat="1" ht="45" customHeight="1" thickBot="1">
      <c r="B39" s="187" t="s">
        <v>183</v>
      </c>
      <c r="C39" s="226" t="s">
        <v>101</v>
      </c>
      <c r="D39" s="227"/>
      <c r="E39" s="236" t="s">
        <v>9</v>
      </c>
      <c r="F39" s="237"/>
      <c r="G39" s="236" t="s">
        <v>10</v>
      </c>
      <c r="H39" s="243"/>
      <c r="I39" s="163"/>
      <c r="J39" s="164"/>
      <c r="K39" s="47"/>
      <c r="L39" s="48"/>
      <c r="M39" s="193"/>
      <c r="N39" s="193"/>
    </row>
    <row r="40" spans="2:17">
      <c r="B40" s="156" t="s">
        <v>11</v>
      </c>
      <c r="C40" s="228">
        <f>E40+G40</f>
        <v>4548761.3900000006</v>
      </c>
      <c r="D40" s="229"/>
      <c r="E40" s="228">
        <f>F26+F27+F28+F29+F31+F32+F33+F35+E18</f>
        <v>3220574.4000000004</v>
      </c>
      <c r="F40" s="229"/>
      <c r="G40" s="228">
        <f>F34+G18</f>
        <v>1328186.99</v>
      </c>
      <c r="H40" s="244"/>
      <c r="I40" s="165"/>
      <c r="J40" s="166"/>
      <c r="K40" s="50"/>
      <c r="L40" s="50"/>
      <c r="M40" s="194"/>
    </row>
    <row r="41" spans="2:17">
      <c r="B41" s="157" t="s">
        <v>12</v>
      </c>
      <c r="C41" s="230">
        <f>E41+G41</f>
        <v>4290695.8800000008</v>
      </c>
      <c r="D41" s="231"/>
      <c r="E41" s="230">
        <f>E19+295265.39</f>
        <v>3041796.5400000005</v>
      </c>
      <c r="F41" s="231"/>
      <c r="G41" s="230">
        <f>G19+147487.53</f>
        <v>1248899.3400000001</v>
      </c>
      <c r="H41" s="241"/>
      <c r="I41" s="165"/>
      <c r="J41" s="167"/>
      <c r="K41" s="52"/>
      <c r="L41" s="50"/>
      <c r="M41" s="194"/>
    </row>
    <row r="42" spans="2:17" ht="16.5" thickBot="1">
      <c r="B42" s="158" t="s">
        <v>88</v>
      </c>
      <c r="C42" s="232">
        <f>E42+G42</f>
        <v>4486269.4080499988</v>
      </c>
      <c r="D42" s="233"/>
      <c r="E42" s="232">
        <f>G26+G27+G28+G29+G31+G32+G33+G35+E20</f>
        <v>3259387.4080499993</v>
      </c>
      <c r="F42" s="233"/>
      <c r="G42" s="232">
        <f>G34+G20</f>
        <v>1226882</v>
      </c>
      <c r="H42" s="242"/>
      <c r="I42" s="165"/>
      <c r="J42" s="49"/>
      <c r="K42" s="34"/>
      <c r="L42" s="34"/>
    </row>
    <row r="43" spans="2:17" ht="27.75" customHeight="1" thickBot="1">
      <c r="B43" s="159" t="s">
        <v>147</v>
      </c>
      <c r="C43" s="234">
        <f>E43+G43</f>
        <v>-195573.52804999868</v>
      </c>
      <c r="D43" s="235"/>
      <c r="E43" s="245">
        <f>E41-E42</f>
        <v>-217590.86804999877</v>
      </c>
      <c r="F43" s="246"/>
      <c r="G43" s="251">
        <f>G41-G42</f>
        <v>22017.340000000084</v>
      </c>
      <c r="H43" s="252"/>
      <c r="I43" s="168"/>
      <c r="J43" s="153"/>
      <c r="K43" s="34"/>
      <c r="L43" s="34"/>
    </row>
    <row r="44" spans="2:17" ht="11.25" customHeight="1">
      <c r="B44" s="79"/>
      <c r="C44" s="151"/>
      <c r="D44" s="151"/>
      <c r="E44" s="152"/>
      <c r="F44" s="153"/>
      <c r="G44" s="153"/>
      <c r="H44" s="153"/>
      <c r="I44" s="51"/>
      <c r="J44" s="49"/>
      <c r="K44" s="34"/>
      <c r="L44" s="34"/>
    </row>
    <row r="45" spans="2:17" s="2" customFormat="1" ht="16.5" customHeight="1">
      <c r="B45" s="53" t="s">
        <v>77</v>
      </c>
      <c r="C45" s="223" t="s">
        <v>150</v>
      </c>
      <c r="D45" s="223"/>
      <c r="E45" s="223"/>
      <c r="F45" s="249" t="s">
        <v>175</v>
      </c>
      <c r="G45" s="249"/>
      <c r="H45" s="53"/>
      <c r="I45" s="53"/>
      <c r="M45" s="192"/>
      <c r="N45" s="192"/>
      <c r="O45" s="1"/>
      <c r="Q45" s="1"/>
    </row>
    <row r="46" spans="2:17" s="2" customFormat="1" ht="9" customHeight="1">
      <c r="B46" s="53"/>
      <c r="C46" s="54"/>
      <c r="D46" s="54"/>
      <c r="E46" s="222"/>
      <c r="F46" s="250"/>
      <c r="G46" s="250"/>
      <c r="H46" s="53"/>
      <c r="I46" s="53"/>
      <c r="M46" s="192"/>
      <c r="N46" s="192"/>
    </row>
    <row r="47" spans="2:17" s="2" customFormat="1" ht="15.75" customHeight="1">
      <c r="B47" s="53" t="s">
        <v>78</v>
      </c>
      <c r="C47" s="223" t="s">
        <v>150</v>
      </c>
      <c r="D47" s="223"/>
      <c r="E47" s="223"/>
      <c r="F47" s="249" t="s">
        <v>93</v>
      </c>
      <c r="G47" s="249"/>
      <c r="H47" s="53"/>
      <c r="I47" s="53"/>
      <c r="M47" s="192"/>
      <c r="N47" s="192"/>
    </row>
    <row r="48" spans="2:17" ht="7.5" customHeight="1">
      <c r="B48" s="53"/>
      <c r="C48" s="54"/>
      <c r="D48" s="54"/>
      <c r="E48" s="222"/>
      <c r="F48" s="249"/>
      <c r="G48" s="249"/>
      <c r="H48" s="53"/>
      <c r="I48" s="53"/>
      <c r="O48" s="2"/>
      <c r="Q48" s="2"/>
    </row>
    <row r="49" spans="2:9" ht="13.5" customHeight="1">
      <c r="B49" s="53" t="s">
        <v>79</v>
      </c>
      <c r="C49" s="223" t="s">
        <v>151</v>
      </c>
      <c r="D49" s="223"/>
      <c r="E49" s="223"/>
      <c r="F49" s="249" t="s">
        <v>176</v>
      </c>
      <c r="G49" s="249"/>
      <c r="H49" s="53"/>
      <c r="I49" s="53"/>
    </row>
    <row r="50" spans="2:9" ht="6" customHeight="1">
      <c r="B50" s="55"/>
      <c r="C50" s="56"/>
      <c r="D50" s="56"/>
      <c r="E50" s="222"/>
      <c r="F50" s="203"/>
      <c r="G50" s="55"/>
      <c r="H50" s="57"/>
      <c r="I50" s="6"/>
    </row>
    <row r="51" spans="2:9" ht="15" customHeight="1">
      <c r="B51" s="53" t="s">
        <v>80</v>
      </c>
      <c r="C51" s="223" t="s">
        <v>151</v>
      </c>
      <c r="D51" s="223"/>
      <c r="E51" s="223"/>
      <c r="F51" s="249" t="s">
        <v>176</v>
      </c>
      <c r="G51" s="249"/>
      <c r="H51" s="53"/>
      <c r="I51" s="53"/>
    </row>
    <row r="52" spans="2:9" ht="9.75" customHeight="1">
      <c r="E52" s="222"/>
      <c r="F52" s="248"/>
      <c r="G52" s="248"/>
      <c r="I52" s="3"/>
    </row>
    <row r="57" spans="2:9">
      <c r="G57" s="210"/>
    </row>
  </sheetData>
  <mergeCells count="59">
    <mergeCell ref="B4:H4"/>
    <mergeCell ref="C18:D18"/>
    <mergeCell ref="C19:D19"/>
    <mergeCell ref="C20:D20"/>
    <mergeCell ref="G40:H40"/>
    <mergeCell ref="C17:D17"/>
    <mergeCell ref="C21:D21"/>
    <mergeCell ref="E43:F43"/>
    <mergeCell ref="G43:H43"/>
    <mergeCell ref="C49:E49"/>
    <mergeCell ref="B1:H1"/>
    <mergeCell ref="B5:H6"/>
    <mergeCell ref="H24:H25"/>
    <mergeCell ref="C24:C25"/>
    <mergeCell ref="D24:D25"/>
    <mergeCell ref="B24:B25"/>
    <mergeCell ref="F8:H8"/>
    <mergeCell ref="F15:G15"/>
    <mergeCell ref="B23:H23"/>
    <mergeCell ref="E24:E25"/>
    <mergeCell ref="B2:H2"/>
    <mergeCell ref="B3:H3"/>
    <mergeCell ref="B16:H16"/>
    <mergeCell ref="F52:G52"/>
    <mergeCell ref="F45:G45"/>
    <mergeCell ref="F51:G51"/>
    <mergeCell ref="F48:G48"/>
    <mergeCell ref="F49:G49"/>
    <mergeCell ref="F46:G46"/>
    <mergeCell ref="F47:G47"/>
    <mergeCell ref="G42:H42"/>
    <mergeCell ref="E42:F42"/>
    <mergeCell ref="E17:F17"/>
    <mergeCell ref="G17:H17"/>
    <mergeCell ref="E18:F18"/>
    <mergeCell ref="G18:H18"/>
    <mergeCell ref="E21:F21"/>
    <mergeCell ref="G21:H21"/>
    <mergeCell ref="E19:F19"/>
    <mergeCell ref="G19:H19"/>
    <mergeCell ref="E20:F20"/>
    <mergeCell ref="G20:H20"/>
    <mergeCell ref="G39:H39"/>
    <mergeCell ref="C51:E51"/>
    <mergeCell ref="M23:M24"/>
    <mergeCell ref="C47:E47"/>
    <mergeCell ref="N23:N24"/>
    <mergeCell ref="C45:E45"/>
    <mergeCell ref="C39:D39"/>
    <mergeCell ref="C40:D40"/>
    <mergeCell ref="C41:D41"/>
    <mergeCell ref="C42:D42"/>
    <mergeCell ref="C43:D43"/>
    <mergeCell ref="E40:F40"/>
    <mergeCell ref="E41:F41"/>
    <mergeCell ref="E39:F39"/>
    <mergeCell ref="F24:G24"/>
    <mergeCell ref="B38:H38"/>
    <mergeCell ref="G41:H41"/>
  </mergeCells>
  <printOptions horizontalCentered="1"/>
  <pageMargins left="0.15748031496062992" right="0.19685039370078741" top="0.15748031496062992" bottom="0.15748031496062992" header="0.19685039370078741" footer="0.15748031496062992"/>
  <pageSetup paperSize="9" scale="4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2"/>
  <sheetViews>
    <sheetView topLeftCell="A22" zoomScale="110" zoomScaleNormal="110" workbookViewId="0">
      <selection activeCell="B1" sqref="B1:H47"/>
    </sheetView>
  </sheetViews>
  <sheetFormatPr defaultColWidth="9.140625" defaultRowHeight="15.75" outlineLevelRow="1"/>
  <cols>
    <col min="1" max="1" width="2.85546875" style="81" customWidth="1"/>
    <col min="2" max="2" width="58" style="81" customWidth="1"/>
    <col min="3" max="3" width="25" style="83" customWidth="1"/>
    <col min="4" max="4" width="9.85546875" style="83" customWidth="1"/>
    <col min="5" max="5" width="9.42578125" style="83" customWidth="1"/>
    <col min="6" max="6" width="9.85546875" style="81" customWidth="1"/>
    <col min="7" max="7" width="10.42578125" style="81" customWidth="1"/>
    <col min="8" max="8" width="10.7109375" style="81" customWidth="1"/>
    <col min="9" max="9" width="11.85546875" style="81" customWidth="1"/>
    <col min="10" max="12" width="9.140625" style="81"/>
    <col min="13" max="13" width="17.7109375" style="188" customWidth="1"/>
    <col min="14" max="14" width="16.28515625" style="188" customWidth="1"/>
    <col min="15" max="16384" width="9.140625" style="81"/>
  </cols>
  <sheetData>
    <row r="1" spans="1:9">
      <c r="B1" s="298" t="s">
        <v>118</v>
      </c>
      <c r="C1" s="298"/>
      <c r="D1" s="298"/>
      <c r="E1" s="298"/>
      <c r="F1" s="298"/>
      <c r="G1" s="298"/>
      <c r="H1" s="298"/>
    </row>
    <row r="2" spans="1:9" ht="9" customHeight="1">
      <c r="B2" s="200"/>
      <c r="C2" s="200"/>
      <c r="D2" s="200"/>
      <c r="E2" s="200"/>
      <c r="F2" s="200"/>
      <c r="G2" s="200"/>
      <c r="H2" s="200"/>
    </row>
    <row r="3" spans="1:9" ht="19.5" customHeight="1">
      <c r="A3" s="82"/>
      <c r="B3" s="254" t="s">
        <v>180</v>
      </c>
      <c r="C3" s="254"/>
      <c r="D3" s="254"/>
      <c r="E3" s="254"/>
      <c r="F3" s="254"/>
      <c r="G3" s="254"/>
      <c r="H3" s="254"/>
    </row>
    <row r="4" spans="1:9" ht="17.25" customHeight="1">
      <c r="A4" s="82"/>
      <c r="B4" s="254"/>
      <c r="C4" s="254"/>
      <c r="D4" s="254"/>
      <c r="E4" s="254"/>
      <c r="F4" s="254"/>
      <c r="G4" s="254"/>
      <c r="H4" s="254"/>
    </row>
    <row r="5" spans="1:9" ht="8.25" customHeight="1"/>
    <row r="6" spans="1:9">
      <c r="B6" s="126" t="s">
        <v>0</v>
      </c>
      <c r="C6" s="128"/>
      <c r="D6" s="299" t="s">
        <v>39</v>
      </c>
      <c r="E6" s="299"/>
    </row>
    <row r="7" spans="1:9">
      <c r="B7" s="126" t="s">
        <v>1</v>
      </c>
      <c r="C7" s="128"/>
      <c r="D7" s="201">
        <v>1963</v>
      </c>
      <c r="E7" s="201"/>
    </row>
    <row r="8" spans="1:9" hidden="1" outlineLevel="1">
      <c r="B8" s="126" t="s">
        <v>2</v>
      </c>
      <c r="C8" s="128"/>
      <c r="D8" s="201">
        <v>4</v>
      </c>
      <c r="E8" s="201"/>
    </row>
    <row r="9" spans="1:9" hidden="1" outlineLevel="1">
      <c r="B9" s="126" t="s">
        <v>3</v>
      </c>
      <c r="C9" s="128"/>
      <c r="D9" s="201">
        <v>29</v>
      </c>
      <c r="E9" s="201"/>
    </row>
    <row r="10" spans="1:9" ht="27.75" hidden="1" customHeight="1" outlineLevel="1">
      <c r="B10" s="130" t="s">
        <v>4</v>
      </c>
      <c r="C10" s="131"/>
      <c r="D10" s="201" t="s">
        <v>40</v>
      </c>
      <c r="E10" s="201"/>
    </row>
    <row r="11" spans="1:9" collapsed="1">
      <c r="B11" s="126" t="s">
        <v>5</v>
      </c>
      <c r="C11" s="128"/>
      <c r="D11" s="201" t="s">
        <v>110</v>
      </c>
      <c r="E11" s="201"/>
      <c r="I11" s="87"/>
    </row>
    <row r="12" spans="1:9" hidden="1" outlineLevel="1">
      <c r="B12" s="81" t="s">
        <v>6</v>
      </c>
      <c r="D12" s="84" t="s">
        <v>41</v>
      </c>
      <c r="E12" s="84"/>
    </row>
    <row r="13" spans="1:9" ht="27.75" hidden="1" customHeight="1" outlineLevel="1">
      <c r="B13" s="85" t="s">
        <v>8</v>
      </c>
      <c r="C13" s="86"/>
      <c r="D13" s="184" t="s">
        <v>42</v>
      </c>
      <c r="E13" s="84"/>
      <c r="I13" s="87"/>
    </row>
    <row r="14" spans="1:9" ht="16.5" collapsed="1" thickBot="1">
      <c r="B14" s="240" t="s">
        <v>177</v>
      </c>
      <c r="C14" s="240"/>
      <c r="D14" s="240"/>
      <c r="E14" s="240"/>
      <c r="F14" s="240"/>
      <c r="G14" s="240"/>
      <c r="H14" s="240"/>
      <c r="I14" s="87"/>
    </row>
    <row r="15" spans="1:9" ht="48.75" customHeight="1" thickBot="1">
      <c r="B15" s="187" t="s">
        <v>174</v>
      </c>
      <c r="C15" s="226" t="s">
        <v>101</v>
      </c>
      <c r="D15" s="227"/>
      <c r="E15" s="236" t="s">
        <v>9</v>
      </c>
      <c r="F15" s="237"/>
      <c r="G15" s="236" t="s">
        <v>10</v>
      </c>
      <c r="H15" s="243"/>
      <c r="I15" s="87"/>
    </row>
    <row r="16" spans="1:9">
      <c r="B16" s="156" t="s">
        <v>11</v>
      </c>
      <c r="C16" s="266">
        <v>2200022.3500000006</v>
      </c>
      <c r="D16" s="267"/>
      <c r="E16" s="228">
        <v>1736334.6300000004</v>
      </c>
      <c r="F16" s="229"/>
      <c r="G16" s="228">
        <v>463687.72</v>
      </c>
      <c r="H16" s="244"/>
      <c r="I16" s="87"/>
    </row>
    <row r="17" spans="2:14">
      <c r="B17" s="157" t="s">
        <v>12</v>
      </c>
      <c r="C17" s="230">
        <v>2006627.2199999997</v>
      </c>
      <c r="D17" s="231"/>
      <c r="E17" s="230">
        <v>1582654.0799999998</v>
      </c>
      <c r="F17" s="231"/>
      <c r="G17" s="230">
        <v>423973.13999999996</v>
      </c>
      <c r="H17" s="241"/>
      <c r="I17" s="87"/>
    </row>
    <row r="18" spans="2:14" ht="16.5" thickBot="1">
      <c r="B18" s="158" t="s">
        <v>88</v>
      </c>
      <c r="C18" s="230">
        <v>2016056.2669000002</v>
      </c>
      <c r="D18" s="231"/>
      <c r="E18" s="232">
        <v>1726947.2669000002</v>
      </c>
      <c r="F18" s="233"/>
      <c r="G18" s="232">
        <v>289109</v>
      </c>
      <c r="H18" s="242"/>
      <c r="I18" s="87"/>
    </row>
    <row r="19" spans="2:14" ht="33" customHeight="1" thickBot="1">
      <c r="B19" s="159" t="s">
        <v>146</v>
      </c>
      <c r="C19" s="234">
        <f>E19+G19</f>
        <v>-9429.046900000365</v>
      </c>
      <c r="D19" s="235"/>
      <c r="E19" s="245">
        <f>E17-E18</f>
        <v>-144293.18690000032</v>
      </c>
      <c r="F19" s="246"/>
      <c r="G19" s="245">
        <f>G17-G18</f>
        <v>134864.13999999996</v>
      </c>
      <c r="H19" s="247"/>
      <c r="I19" s="87"/>
    </row>
    <row r="20" spans="2:14">
      <c r="B20" s="85"/>
      <c r="C20" s="86"/>
      <c r="D20" s="184"/>
      <c r="E20" s="84"/>
      <c r="I20" s="87"/>
    </row>
    <row r="21" spans="2:14" ht="33" customHeight="1" thickBot="1">
      <c r="B21" s="263" t="s">
        <v>181</v>
      </c>
      <c r="C21" s="263"/>
      <c r="D21" s="263"/>
      <c r="E21" s="263"/>
      <c r="F21" s="263"/>
      <c r="G21" s="263"/>
      <c r="H21" s="263"/>
      <c r="L21" s="87"/>
      <c r="M21" s="224" t="s">
        <v>148</v>
      </c>
      <c r="N21" s="224" t="s">
        <v>149</v>
      </c>
    </row>
    <row r="22" spans="2:14" ht="38.25" customHeight="1">
      <c r="B22" s="259" t="s">
        <v>94</v>
      </c>
      <c r="C22" s="257" t="s">
        <v>95</v>
      </c>
      <c r="D22" s="257" t="s">
        <v>116</v>
      </c>
      <c r="E22" s="264" t="s">
        <v>182</v>
      </c>
      <c r="F22" s="238" t="s">
        <v>96</v>
      </c>
      <c r="G22" s="239"/>
      <c r="H22" s="255" t="s">
        <v>122</v>
      </c>
      <c r="L22" s="87"/>
      <c r="M22" s="225"/>
      <c r="N22" s="225"/>
    </row>
    <row r="23" spans="2:14" ht="38.25" customHeight="1" thickBot="1">
      <c r="B23" s="260"/>
      <c r="C23" s="258"/>
      <c r="D23" s="258"/>
      <c r="E23" s="265"/>
      <c r="F23" s="18" t="s">
        <v>81</v>
      </c>
      <c r="G23" s="19" t="s">
        <v>82</v>
      </c>
      <c r="H23" s="256"/>
      <c r="M23" s="189">
        <v>222105.45</v>
      </c>
      <c r="N23" s="189">
        <f>M23*1.05</f>
        <v>233210.72250000003</v>
      </c>
    </row>
    <row r="24" spans="2:14" ht="45">
      <c r="B24" s="88" t="s">
        <v>141</v>
      </c>
      <c r="C24" s="89" t="s">
        <v>136</v>
      </c>
      <c r="D24" s="90" t="s">
        <v>98</v>
      </c>
      <c r="E24" s="91">
        <v>1.53</v>
      </c>
      <c r="F24" s="92">
        <f>$M$23/$M$24*E24</f>
        <v>22929.91487854251</v>
      </c>
      <c r="G24" s="93">
        <f>$N$23/$N$24*E24</f>
        <v>24076.410622469641</v>
      </c>
      <c r="H24" s="94">
        <f>F24-G24</f>
        <v>-1146.4957439271311</v>
      </c>
      <c r="I24" s="95"/>
      <c r="J24" s="96"/>
      <c r="K24" s="96"/>
      <c r="L24" s="97"/>
      <c r="M24" s="191">
        <f>E33-E31</f>
        <v>14.82</v>
      </c>
      <c r="N24" s="191">
        <f>E33-E31</f>
        <v>14.82</v>
      </c>
    </row>
    <row r="25" spans="2:14" ht="51">
      <c r="B25" s="98" t="s">
        <v>142</v>
      </c>
      <c r="C25" s="89" t="s">
        <v>136</v>
      </c>
      <c r="D25" s="90" t="s">
        <v>98</v>
      </c>
      <c r="E25" s="99">
        <v>1.65</v>
      </c>
      <c r="F25" s="92">
        <f t="shared" ref="F25:F32" si="0">$M$23/$M$24*E25</f>
        <v>24728.339574898786</v>
      </c>
      <c r="G25" s="93">
        <f t="shared" ref="G25:G29" si="1">$N$23/$N$24*E25</f>
        <v>25964.756553643729</v>
      </c>
      <c r="H25" s="94">
        <f t="shared" ref="H25:H30" si="2">F25-G25</f>
        <v>-1236.4169787449428</v>
      </c>
      <c r="I25" s="100"/>
      <c r="J25" s="101"/>
      <c r="K25" s="101"/>
      <c r="L25" s="101"/>
      <c r="M25" s="192"/>
      <c r="N25" s="192"/>
    </row>
    <row r="26" spans="2:14" ht="50.25" customHeight="1">
      <c r="B26" s="103" t="s">
        <v>83</v>
      </c>
      <c r="C26" s="89" t="s">
        <v>136</v>
      </c>
      <c r="D26" s="90" t="s">
        <v>98</v>
      </c>
      <c r="E26" s="99">
        <v>0.32</v>
      </c>
      <c r="F26" s="92">
        <f t="shared" si="0"/>
        <v>4795.799190283401</v>
      </c>
      <c r="G26" s="93">
        <f t="shared" si="1"/>
        <v>5035.5891497975717</v>
      </c>
      <c r="H26" s="94">
        <f t="shared" si="2"/>
        <v>-239.78995951417073</v>
      </c>
      <c r="I26" s="104"/>
      <c r="L26" s="87"/>
    </row>
    <row r="27" spans="2:14" ht="28.5" customHeight="1">
      <c r="B27" s="103" t="s">
        <v>84</v>
      </c>
      <c r="C27" s="105" t="s">
        <v>99</v>
      </c>
      <c r="D27" s="90" t="s">
        <v>98</v>
      </c>
      <c r="E27" s="99">
        <v>0.53</v>
      </c>
      <c r="F27" s="92">
        <f t="shared" si="0"/>
        <v>7943.0424089068829</v>
      </c>
      <c r="G27" s="93">
        <f t="shared" si="1"/>
        <v>8340.1945293522276</v>
      </c>
      <c r="H27" s="94">
        <f t="shared" si="2"/>
        <v>-397.15212044534474</v>
      </c>
      <c r="I27" s="104"/>
      <c r="L27" s="87"/>
    </row>
    <row r="28" spans="2:14" ht="51">
      <c r="B28" s="98" t="s">
        <v>143</v>
      </c>
      <c r="C28" s="89" t="s">
        <v>137</v>
      </c>
      <c r="D28" s="90" t="s">
        <v>98</v>
      </c>
      <c r="E28" s="99">
        <v>1.24</v>
      </c>
      <c r="F28" s="92">
        <f t="shared" si="0"/>
        <v>18583.721862348179</v>
      </c>
      <c r="G28" s="93">
        <f t="shared" si="1"/>
        <v>19512.907955465591</v>
      </c>
      <c r="H28" s="94">
        <f t="shared" si="2"/>
        <v>-929.18609311741238</v>
      </c>
      <c r="I28" s="104"/>
    </row>
    <row r="29" spans="2:14" ht="210.75" customHeight="1">
      <c r="B29" s="98" t="s">
        <v>144</v>
      </c>
      <c r="C29" s="106" t="s">
        <v>100</v>
      </c>
      <c r="D29" s="90" t="s">
        <v>98</v>
      </c>
      <c r="E29" s="99">
        <v>6.05</v>
      </c>
      <c r="F29" s="92">
        <f t="shared" si="0"/>
        <v>90670.57844129554</v>
      </c>
      <c r="G29" s="93">
        <f t="shared" si="1"/>
        <v>95204.107363360337</v>
      </c>
      <c r="H29" s="94">
        <f t="shared" si="2"/>
        <v>-4533.5289220647974</v>
      </c>
      <c r="I29" s="100"/>
      <c r="J29" s="101"/>
      <c r="K29" s="101"/>
      <c r="L29" s="102"/>
      <c r="M29" s="192"/>
      <c r="N29" s="192"/>
    </row>
    <row r="30" spans="2:14" ht="106.5" customHeight="1">
      <c r="B30" s="98" t="s">
        <v>145</v>
      </c>
      <c r="C30" s="89" t="s">
        <v>136</v>
      </c>
      <c r="D30" s="90" t="s">
        <v>98</v>
      </c>
      <c r="E30" s="99">
        <v>0.4</v>
      </c>
      <c r="F30" s="92">
        <f t="shared" si="0"/>
        <v>5994.748987854251</v>
      </c>
      <c r="G30" s="93">
        <f t="shared" ref="G30" si="3">$N$23/$N$24*E30</f>
        <v>6294.4864372469647</v>
      </c>
      <c r="H30" s="94">
        <f t="shared" si="2"/>
        <v>-299.73744939271364</v>
      </c>
      <c r="I30" s="104"/>
    </row>
    <row r="31" spans="2:14" ht="60" customHeight="1">
      <c r="B31" s="103" t="s">
        <v>91</v>
      </c>
      <c r="C31" s="89" t="s">
        <v>136</v>
      </c>
      <c r="D31" s="90" t="s">
        <v>98</v>
      </c>
      <c r="E31" s="99">
        <v>2.61</v>
      </c>
      <c r="F31" s="92">
        <v>60742.47</v>
      </c>
      <c r="G31" s="107">
        <v>140359</v>
      </c>
      <c r="H31" s="94">
        <f>F31-G31</f>
        <v>-79616.53</v>
      </c>
      <c r="I31" s="104"/>
      <c r="L31" s="87"/>
    </row>
    <row r="32" spans="2:14" ht="16.5" thickBot="1">
      <c r="B32" s="108" t="s">
        <v>85</v>
      </c>
      <c r="C32" s="109" t="s">
        <v>100</v>
      </c>
      <c r="D32" s="110" t="s">
        <v>98</v>
      </c>
      <c r="E32" s="111">
        <v>3.1</v>
      </c>
      <c r="F32" s="92">
        <f t="shared" si="0"/>
        <v>46459.304655870445</v>
      </c>
      <c r="G32" s="93">
        <f t="shared" ref="G32" si="4">$N$23/$N$24*E32</f>
        <v>48782.269888663977</v>
      </c>
      <c r="H32" s="94">
        <f>F32-G32</f>
        <v>-2322.9652327935328</v>
      </c>
      <c r="I32" s="104"/>
    </row>
    <row r="33" spans="2:14" ht="16.5" thickBot="1">
      <c r="B33" s="112" t="s">
        <v>89</v>
      </c>
      <c r="C33" s="113"/>
      <c r="D33" s="113"/>
      <c r="E33" s="204">
        <f>SUM(E24:E32)</f>
        <v>17.43</v>
      </c>
      <c r="F33" s="114">
        <f>SUM(F24:F32)</f>
        <v>282847.92</v>
      </c>
      <c r="G33" s="115">
        <f>SUM(G24:G32)</f>
        <v>373569.72250000003</v>
      </c>
      <c r="H33" s="116">
        <f>SUM(H24:H32)</f>
        <v>-90721.802500000049</v>
      </c>
      <c r="I33" s="185"/>
    </row>
    <row r="34" spans="2:14">
      <c r="B34" s="87"/>
      <c r="C34" s="87"/>
      <c r="D34" s="87"/>
      <c r="E34" s="117"/>
      <c r="F34" s="117"/>
      <c r="G34" s="117"/>
      <c r="H34" s="83"/>
    </row>
    <row r="35" spans="2:14" ht="16.5" customHeight="1" thickBot="1">
      <c r="B35" s="240" t="s">
        <v>184</v>
      </c>
      <c r="C35" s="240"/>
      <c r="D35" s="240"/>
      <c r="E35" s="240"/>
      <c r="F35" s="240"/>
      <c r="G35" s="240"/>
      <c r="H35" s="240"/>
      <c r="I35" s="118"/>
      <c r="J35" s="118"/>
    </row>
    <row r="36" spans="2:14" ht="47.25" customHeight="1" thickBot="1">
      <c r="B36" s="187" t="s">
        <v>183</v>
      </c>
      <c r="C36" s="226" t="s">
        <v>101</v>
      </c>
      <c r="D36" s="227"/>
      <c r="E36" s="236" t="s">
        <v>9</v>
      </c>
      <c r="F36" s="237"/>
      <c r="G36" s="236" t="s">
        <v>10</v>
      </c>
      <c r="H36" s="243"/>
      <c r="I36" s="119"/>
      <c r="J36" s="120"/>
      <c r="K36" s="121"/>
      <c r="L36" s="122"/>
      <c r="M36" s="193"/>
      <c r="N36" s="193"/>
    </row>
    <row r="37" spans="2:14">
      <c r="B37" s="156" t="s">
        <v>11</v>
      </c>
      <c r="C37" s="266">
        <f>E37+G37</f>
        <v>2482870.2700000005</v>
      </c>
      <c r="D37" s="271"/>
      <c r="E37" s="228">
        <f>F24+F25+F26+F27+F28+F29+F30+F32+E16</f>
        <v>1958440.0800000003</v>
      </c>
      <c r="F37" s="229"/>
      <c r="G37" s="228">
        <f>F31+G16</f>
        <v>524430.18999999994</v>
      </c>
      <c r="H37" s="244"/>
      <c r="I37" s="123"/>
      <c r="J37" s="124"/>
      <c r="K37" s="125"/>
      <c r="L37" s="125"/>
      <c r="M37" s="194"/>
    </row>
    <row r="38" spans="2:14">
      <c r="B38" s="157" t="s">
        <v>12</v>
      </c>
      <c r="C38" s="230">
        <f>E38+G38</f>
        <v>2266697.6399999997</v>
      </c>
      <c r="D38" s="231"/>
      <c r="E38" s="230">
        <f>E17+204219.46</f>
        <v>1786873.5399999998</v>
      </c>
      <c r="F38" s="231"/>
      <c r="G38" s="230">
        <f>G17+55850.93+0.03</f>
        <v>479824.1</v>
      </c>
      <c r="H38" s="241"/>
      <c r="I38" s="123"/>
      <c r="J38" s="124"/>
      <c r="K38" s="127"/>
      <c r="L38" s="125"/>
      <c r="M38" s="194"/>
    </row>
    <row r="39" spans="2:14" ht="16.5" thickBot="1">
      <c r="B39" s="158" t="s">
        <v>88</v>
      </c>
      <c r="C39" s="269">
        <f>E39+G39</f>
        <v>2389625.9894000003</v>
      </c>
      <c r="D39" s="275"/>
      <c r="E39" s="232">
        <f>G24+G25+G26+G27+G28+G29+G30+G32+E18</f>
        <v>1960157.9894000003</v>
      </c>
      <c r="F39" s="233"/>
      <c r="G39" s="232">
        <f>G31+G18</f>
        <v>429468</v>
      </c>
      <c r="H39" s="242"/>
      <c r="I39" s="123"/>
      <c r="J39" s="124"/>
      <c r="K39" s="104"/>
      <c r="L39" s="104"/>
    </row>
    <row r="40" spans="2:14" ht="30" customHeight="1" thickBot="1">
      <c r="B40" s="159" t="s">
        <v>147</v>
      </c>
      <c r="C40" s="234">
        <f>E40+G40</f>
        <v>-122928.34940000053</v>
      </c>
      <c r="D40" s="235"/>
      <c r="E40" s="245">
        <f>E38-E39</f>
        <v>-173284.44940000051</v>
      </c>
      <c r="F40" s="246"/>
      <c r="G40" s="245">
        <f>G38-G39</f>
        <v>50356.099999999977</v>
      </c>
      <c r="H40" s="247"/>
      <c r="I40" s="123"/>
      <c r="J40" s="124"/>
      <c r="K40" s="104"/>
      <c r="L40" s="104"/>
    </row>
    <row r="41" spans="2:14" ht="30.75" customHeight="1">
      <c r="B41" s="53" t="s">
        <v>77</v>
      </c>
      <c r="C41" s="223" t="s">
        <v>150</v>
      </c>
      <c r="D41" s="223"/>
      <c r="E41" s="223"/>
      <c r="F41" s="249" t="s">
        <v>175</v>
      </c>
      <c r="G41" s="249"/>
      <c r="H41" s="132"/>
      <c r="I41" s="132"/>
      <c r="J41" s="101"/>
      <c r="K41" s="101"/>
      <c r="L41" s="101"/>
      <c r="M41" s="192"/>
      <c r="N41" s="192"/>
    </row>
    <row r="42" spans="2:14" ht="8.25" customHeight="1">
      <c r="B42" s="53"/>
      <c r="C42" s="54"/>
      <c r="D42" s="54"/>
      <c r="E42" s="202"/>
      <c r="F42" s="250"/>
      <c r="G42" s="250"/>
      <c r="H42" s="132"/>
      <c r="I42" s="132"/>
      <c r="J42" s="101"/>
      <c r="K42" s="101"/>
      <c r="L42" s="101"/>
      <c r="M42" s="192"/>
      <c r="N42" s="192"/>
    </row>
    <row r="43" spans="2:14" ht="12" customHeight="1">
      <c r="B43" s="53" t="s">
        <v>78</v>
      </c>
      <c r="C43" s="223" t="s">
        <v>150</v>
      </c>
      <c r="D43" s="223"/>
      <c r="E43" s="223"/>
      <c r="F43" s="249" t="s">
        <v>93</v>
      </c>
      <c r="G43" s="249"/>
      <c r="H43" s="132"/>
      <c r="I43" s="132"/>
      <c r="J43" s="101"/>
      <c r="K43" s="101"/>
      <c r="L43" s="101"/>
      <c r="M43" s="192"/>
      <c r="N43" s="192"/>
    </row>
    <row r="44" spans="2:14" ht="9.75" customHeight="1">
      <c r="B44" s="53"/>
      <c r="C44" s="54"/>
      <c r="D44" s="54"/>
      <c r="E44" s="202"/>
      <c r="F44" s="249"/>
      <c r="G44" s="249"/>
      <c r="H44" s="132"/>
      <c r="I44" s="132"/>
    </row>
    <row r="45" spans="2:14" ht="12.75" customHeight="1">
      <c r="B45" s="53" t="s">
        <v>79</v>
      </c>
      <c r="C45" s="223" t="s">
        <v>151</v>
      </c>
      <c r="D45" s="223"/>
      <c r="E45" s="223"/>
      <c r="F45" s="249" t="s">
        <v>176</v>
      </c>
      <c r="G45" s="249"/>
      <c r="H45" s="132"/>
      <c r="I45" s="132"/>
    </row>
    <row r="46" spans="2:14" ht="6" customHeight="1">
      <c r="B46" s="55"/>
      <c r="C46" s="56"/>
      <c r="D46" s="56"/>
      <c r="E46" s="202"/>
      <c r="F46" s="203"/>
      <c r="G46" s="55"/>
      <c r="H46" s="128"/>
      <c r="I46" s="126"/>
    </row>
    <row r="47" spans="2:14">
      <c r="B47" s="53" t="s">
        <v>80</v>
      </c>
      <c r="C47" s="223" t="s">
        <v>151</v>
      </c>
      <c r="D47" s="223"/>
      <c r="E47" s="223"/>
      <c r="F47" s="249" t="s">
        <v>176</v>
      </c>
      <c r="G47" s="249"/>
      <c r="H47" s="132"/>
      <c r="I47" s="132"/>
    </row>
    <row r="48" spans="2:14" ht="12.75" customHeight="1">
      <c r="B48" s="1"/>
      <c r="C48" s="15"/>
      <c r="D48" s="3"/>
      <c r="E48" s="199"/>
      <c r="F48" s="1"/>
      <c r="G48" s="1"/>
      <c r="H48" s="83"/>
      <c r="I48" s="83"/>
    </row>
    <row r="49" spans="3:5">
      <c r="C49" s="117"/>
      <c r="E49" s="129"/>
    </row>
    <row r="50" spans="3:5">
      <c r="C50" s="117"/>
    </row>
    <row r="51" spans="3:5">
      <c r="C51" s="117"/>
    </row>
    <row r="52" spans="3:5">
      <c r="C52" s="117"/>
    </row>
  </sheetData>
  <mergeCells count="54">
    <mergeCell ref="M21:M22"/>
    <mergeCell ref="N21:N22"/>
    <mergeCell ref="C19:D19"/>
    <mergeCell ref="E19:F19"/>
    <mergeCell ref="G19:H19"/>
    <mergeCell ref="C36:D36"/>
    <mergeCell ref="C37:D37"/>
    <mergeCell ref="C17:D17"/>
    <mergeCell ref="E17:F17"/>
    <mergeCell ref="G17:H17"/>
    <mergeCell ref="C18:D18"/>
    <mergeCell ref="E18:F18"/>
    <mergeCell ref="G18:H18"/>
    <mergeCell ref="C22:C23"/>
    <mergeCell ref="D22:D23"/>
    <mergeCell ref="E22:E23"/>
    <mergeCell ref="F22:G22"/>
    <mergeCell ref="B14:H14"/>
    <mergeCell ref="C15:D15"/>
    <mergeCell ref="E15:F15"/>
    <mergeCell ref="G15:H15"/>
    <mergeCell ref="C16:D16"/>
    <mergeCell ref="E16:F16"/>
    <mergeCell ref="G16:H16"/>
    <mergeCell ref="B1:H1"/>
    <mergeCell ref="B3:H4"/>
    <mergeCell ref="E38:F38"/>
    <mergeCell ref="F45:G45"/>
    <mergeCell ref="F42:G42"/>
    <mergeCell ref="G39:H39"/>
    <mergeCell ref="G40:H40"/>
    <mergeCell ref="F41:G41"/>
    <mergeCell ref="D6:E6"/>
    <mergeCell ref="E36:F36"/>
    <mergeCell ref="B21:H21"/>
    <mergeCell ref="B22:B23"/>
    <mergeCell ref="E40:F40"/>
    <mergeCell ref="H22:H23"/>
    <mergeCell ref="G36:H36"/>
    <mergeCell ref="B35:H35"/>
    <mergeCell ref="F47:G47"/>
    <mergeCell ref="E39:F39"/>
    <mergeCell ref="F43:G43"/>
    <mergeCell ref="E37:F37"/>
    <mergeCell ref="F44:G44"/>
    <mergeCell ref="G37:H37"/>
    <mergeCell ref="G38:H38"/>
    <mergeCell ref="C45:E45"/>
    <mergeCell ref="C47:E47"/>
    <mergeCell ref="C38:D38"/>
    <mergeCell ref="C39:D39"/>
    <mergeCell ref="C40:D40"/>
    <mergeCell ref="C41:E41"/>
    <mergeCell ref="C43:E43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1"/>
  <sheetViews>
    <sheetView topLeftCell="A33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7109375" style="15" customWidth="1"/>
    <col min="4" max="4" width="8.5703125" style="3" customWidth="1"/>
    <col min="5" max="5" width="10.140625" style="3" customWidth="1"/>
    <col min="6" max="6" width="10.28515625" style="1" customWidth="1"/>
    <col min="7" max="7" width="10.42578125" style="1" customWidth="1"/>
    <col min="8" max="8" width="10.85546875" style="1" customWidth="1"/>
    <col min="9" max="9" width="15.42578125" style="1" customWidth="1"/>
    <col min="10" max="10" width="14.85546875" style="1" customWidth="1"/>
    <col min="11" max="12" width="9.140625" style="1"/>
    <col min="13" max="13" width="17.28515625" style="188" customWidth="1"/>
    <col min="14" max="14" width="16.7109375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161</v>
      </c>
      <c r="C3" s="253"/>
      <c r="D3" s="253"/>
      <c r="E3" s="253"/>
      <c r="F3" s="253"/>
      <c r="G3" s="253"/>
      <c r="H3" s="253"/>
    </row>
    <row r="4" spans="1:9" ht="15.75" customHeight="1">
      <c r="B4" s="253" t="s">
        <v>179</v>
      </c>
      <c r="C4" s="253"/>
      <c r="D4" s="253"/>
      <c r="E4" s="253"/>
      <c r="F4" s="253"/>
      <c r="G4" s="253"/>
      <c r="H4" s="253"/>
    </row>
    <row r="5" spans="1:9" ht="15.75" customHeight="1">
      <c r="A5" s="221"/>
      <c r="B5" s="254" t="s">
        <v>180</v>
      </c>
      <c r="C5" s="254"/>
      <c r="D5" s="254"/>
      <c r="E5" s="254"/>
      <c r="F5" s="254"/>
      <c r="G5" s="254"/>
      <c r="H5" s="254"/>
    </row>
    <row r="6" spans="1:9" ht="21" customHeight="1">
      <c r="A6" s="221"/>
      <c r="B6" s="254"/>
      <c r="C6" s="254"/>
      <c r="D6" s="254"/>
      <c r="E6" s="254"/>
      <c r="F6" s="254"/>
      <c r="G6" s="254"/>
      <c r="H6" s="254"/>
    </row>
    <row r="7" spans="1:9" ht="9" customHeight="1"/>
    <row r="8" spans="1:9">
      <c r="B8" s="169" t="s">
        <v>0</v>
      </c>
      <c r="C8" s="170"/>
      <c r="D8" s="261" t="s">
        <v>43</v>
      </c>
      <c r="E8" s="261"/>
    </row>
    <row r="9" spans="1:9">
      <c r="B9" s="169" t="s">
        <v>1</v>
      </c>
      <c r="C9" s="170"/>
      <c r="D9" s="213">
        <v>1963</v>
      </c>
      <c r="E9" s="213"/>
    </row>
    <row r="10" spans="1:9" hidden="1" outlineLevel="1">
      <c r="B10" s="169" t="s">
        <v>2</v>
      </c>
      <c r="C10" s="170"/>
      <c r="D10" s="213">
        <v>4</v>
      </c>
      <c r="E10" s="213"/>
    </row>
    <row r="11" spans="1:9" hidden="1" outlineLevel="1">
      <c r="B11" s="169" t="s">
        <v>3</v>
      </c>
      <c r="C11" s="170"/>
      <c r="D11" s="213">
        <v>63</v>
      </c>
      <c r="E11" s="213"/>
    </row>
    <row r="12" spans="1:9" ht="30.75" hidden="1" customHeight="1" outlineLevel="1">
      <c r="B12" s="171" t="s">
        <v>4</v>
      </c>
      <c r="C12" s="172"/>
      <c r="D12" s="213" t="s">
        <v>44</v>
      </c>
      <c r="E12" s="213"/>
    </row>
    <row r="13" spans="1:9" collapsed="1">
      <c r="B13" s="169" t="s">
        <v>5</v>
      </c>
      <c r="C13" s="170"/>
      <c r="D13" s="213" t="s">
        <v>111</v>
      </c>
      <c r="E13" s="213"/>
      <c r="I13" s="5"/>
    </row>
    <row r="14" spans="1:9" hidden="1" outlineLevel="1">
      <c r="B14" s="1" t="s">
        <v>6</v>
      </c>
      <c r="D14" s="162" t="s">
        <v>7</v>
      </c>
      <c r="E14" s="162"/>
    </row>
    <row r="15" spans="1:9" ht="30.75" hidden="1" customHeight="1" outlineLevel="1">
      <c r="B15" s="16" t="s">
        <v>8</v>
      </c>
      <c r="C15" s="17"/>
      <c r="D15" s="214" t="s">
        <v>45</v>
      </c>
      <c r="E15" s="162"/>
      <c r="I15" s="5"/>
    </row>
    <row r="16" spans="1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39.7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4174803.04</v>
      </c>
      <c r="D18" s="267"/>
      <c r="E18" s="228">
        <v>3072452.19</v>
      </c>
      <c r="F18" s="229"/>
      <c r="G18" s="228">
        <v>1102350.8499999999</v>
      </c>
      <c r="H18" s="244"/>
      <c r="I18" s="5"/>
    </row>
    <row r="19" spans="2:14">
      <c r="B19" s="157" t="s">
        <v>12</v>
      </c>
      <c r="C19" s="230">
        <v>4023668.0599999996</v>
      </c>
      <c r="D19" s="268"/>
      <c r="E19" s="230">
        <v>2962932.76</v>
      </c>
      <c r="F19" s="231"/>
      <c r="G19" s="230">
        <v>1060735.3</v>
      </c>
      <c r="H19" s="241"/>
      <c r="I19" s="5"/>
    </row>
    <row r="20" spans="2:14" ht="16.5" thickBot="1">
      <c r="B20" s="158" t="s">
        <v>88</v>
      </c>
      <c r="C20" s="269">
        <v>4125198.1138999998</v>
      </c>
      <c r="D20" s="270"/>
      <c r="E20" s="232">
        <v>3069179.1138999998</v>
      </c>
      <c r="F20" s="233"/>
      <c r="G20" s="232">
        <v>1056019</v>
      </c>
      <c r="H20" s="242"/>
      <c r="I20" s="5"/>
    </row>
    <row r="21" spans="2:14" ht="36.75" thickBot="1">
      <c r="B21" s="159" t="s">
        <v>146</v>
      </c>
      <c r="C21" s="234">
        <f>E21+G21</f>
        <v>-101530.05389999994</v>
      </c>
      <c r="D21" s="235"/>
      <c r="E21" s="245">
        <f>E19-E20</f>
        <v>-106246.35389999999</v>
      </c>
      <c r="F21" s="246"/>
      <c r="G21" s="245">
        <f>G19-G20</f>
        <v>4716.3000000000466</v>
      </c>
      <c r="H21" s="247"/>
      <c r="I21" s="5"/>
    </row>
    <row r="22" spans="2:14">
      <c r="B22" s="16"/>
      <c r="C22" s="17"/>
      <c r="D22" s="214"/>
      <c r="E22" s="162"/>
      <c r="I22" s="5"/>
    </row>
    <row r="23" spans="2:14" ht="36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4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42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347397.25</v>
      </c>
      <c r="N25" s="189">
        <f>M25*1.05</f>
        <v>364767.11249999999</v>
      </c>
    </row>
    <row r="26" spans="2:14" ht="4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32530.131183745583</v>
      </c>
      <c r="G26" s="25">
        <f>$N$25/$N$26*E26</f>
        <v>34156.637742932864</v>
      </c>
      <c r="H26" s="26">
        <f>F26-G26</f>
        <v>-1626.5065591872808</v>
      </c>
      <c r="I26" s="27"/>
      <c r="J26" s="209"/>
      <c r="K26" s="209"/>
      <c r="L26" s="28"/>
      <c r="M26" s="191">
        <f>E35-E33</f>
        <v>11.32</v>
      </c>
      <c r="N26" s="191">
        <f>E35-E33</f>
        <v>11.32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36519.675574204943</v>
      </c>
      <c r="G27" s="25">
        <f t="shared" ref="G27:G31" si="1">$N$25/$N$26*E27</f>
        <v>38345.659352915194</v>
      </c>
      <c r="H27" s="26">
        <f t="shared" ref="H27:H32" si="2">F27-G27</f>
        <v>-1825.9837787102515</v>
      </c>
      <c r="I27" s="32"/>
      <c r="J27" s="2"/>
      <c r="K27" s="2"/>
      <c r="L27" s="2"/>
      <c r="M27" s="192"/>
      <c r="N27" s="192"/>
    </row>
    <row r="28" spans="2:14" ht="38.2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9820.4169611307425</v>
      </c>
      <c r="G28" s="25">
        <f t="shared" si="1"/>
        <v>10311.437809187279</v>
      </c>
      <c r="H28" s="26">
        <f t="shared" si="2"/>
        <v>-491.02084805653612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0.22</v>
      </c>
      <c r="F29" s="24">
        <f t="shared" si="0"/>
        <v>6751.5366607773849</v>
      </c>
      <c r="G29" s="25">
        <f t="shared" si="1"/>
        <v>7089.113493816254</v>
      </c>
      <c r="H29" s="26">
        <f t="shared" si="2"/>
        <v>-337.57683303886915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36212.787544169609</v>
      </c>
      <c r="G30" s="25">
        <f t="shared" si="1"/>
        <v>38023.426921378086</v>
      </c>
      <c r="H30" s="26">
        <f t="shared" si="2"/>
        <v>-1810.6393772084775</v>
      </c>
      <c r="I30" s="34"/>
    </row>
    <row r="31" spans="2:14" ht="213.7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172164.18484982333</v>
      </c>
      <c r="G31" s="25">
        <f t="shared" si="1"/>
        <v>180772.3940923145</v>
      </c>
      <c r="H31" s="26">
        <f t="shared" si="2"/>
        <v>-8608.209242491168</v>
      </c>
      <c r="I31" s="32"/>
      <c r="J31" s="2"/>
      <c r="K31" s="2"/>
      <c r="L31" s="4"/>
      <c r="M31" s="192"/>
      <c r="N31" s="192"/>
    </row>
    <row r="32" spans="2:14" ht="111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7365.3127208480564</v>
      </c>
      <c r="G32" s="25">
        <f t="shared" ref="G32" si="3">$N$25/$N$26*E32</f>
        <v>7733.578356890459</v>
      </c>
      <c r="H32" s="26">
        <f t="shared" si="2"/>
        <v>-368.26563604240255</v>
      </c>
      <c r="I32" s="34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4.47</v>
      </c>
      <c r="F33" s="24">
        <v>137178.95000000001</v>
      </c>
      <c r="G33" s="31">
        <v>63188</v>
      </c>
      <c r="H33" s="26">
        <f>F33-G33</f>
        <v>73990.950000000012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1.5</v>
      </c>
      <c r="F34" s="24">
        <f t="shared" si="0"/>
        <v>46033.204505300353</v>
      </c>
      <c r="G34" s="25">
        <f t="shared" ref="G34" si="4">$N$25/$N$26*E34</f>
        <v>48334.864730565372</v>
      </c>
      <c r="H34" s="26">
        <f>F34-G34</f>
        <v>-2301.6602252650191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15.79</v>
      </c>
      <c r="F35" s="43">
        <f>SUM(F26:F34)</f>
        <v>484576.20000000007</v>
      </c>
      <c r="G35" s="44">
        <f>SUM(G26:G34)</f>
        <v>427955.11250000005</v>
      </c>
      <c r="H35" s="45">
        <f>SUM(H26:H34)</f>
        <v>56621.087500000009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0.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75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4659379.24</v>
      </c>
      <c r="D39" s="229"/>
      <c r="E39" s="228">
        <f>F26+F27+F28+F29+F30+F31+F32+F34+E18</f>
        <v>3419849.44</v>
      </c>
      <c r="F39" s="229"/>
      <c r="G39" s="228">
        <f>F33+G18</f>
        <v>1239529.7999999998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4490286.68</v>
      </c>
      <c r="D40" s="231"/>
      <c r="E40" s="230">
        <f>E19+334523.29</f>
        <v>3297456.05</v>
      </c>
      <c r="F40" s="231"/>
      <c r="G40" s="230">
        <f>G19+132095.33</f>
        <v>1192830.6300000001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4553153.2264</v>
      </c>
      <c r="D41" s="233"/>
      <c r="E41" s="232">
        <f>G26+G27+G28+G29+G30+G31+G32+G34+E20</f>
        <v>3433946.2264</v>
      </c>
      <c r="F41" s="233"/>
      <c r="G41" s="232">
        <f>G33+G20</f>
        <v>1119207</v>
      </c>
      <c r="H41" s="242"/>
      <c r="I41" s="165"/>
      <c r="J41" s="49"/>
      <c r="K41" s="34"/>
      <c r="L41" s="34"/>
    </row>
    <row r="42" spans="2:14" ht="33" customHeight="1" thickBot="1">
      <c r="B42" s="159" t="s">
        <v>147</v>
      </c>
      <c r="C42" s="234">
        <f>E42+G42</f>
        <v>-62866.546400000108</v>
      </c>
      <c r="D42" s="235"/>
      <c r="E42" s="245">
        <f>E40-E41</f>
        <v>-136490.17640000023</v>
      </c>
      <c r="F42" s="246"/>
      <c r="G42" s="245">
        <f>G40-G41</f>
        <v>73623.630000000121</v>
      </c>
      <c r="H42" s="247"/>
      <c r="I42" s="168"/>
      <c r="J42" s="153"/>
      <c r="K42" s="34"/>
      <c r="L42" s="34"/>
    </row>
    <row r="43" spans="2:14" ht="15.75" customHeight="1">
      <c r="B43" s="79"/>
      <c r="C43" s="151"/>
      <c r="D43" s="151"/>
      <c r="E43" s="153"/>
      <c r="F43" s="153"/>
      <c r="G43" s="153"/>
      <c r="H43" s="153"/>
      <c r="I43" s="176"/>
      <c r="J43" s="32"/>
      <c r="K43" s="2"/>
      <c r="L43" s="2"/>
      <c r="M43" s="192"/>
      <c r="N43" s="192"/>
    </row>
    <row r="44" spans="2:14" ht="1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176"/>
      <c r="J44" s="32"/>
      <c r="K44" s="2"/>
      <c r="L44" s="2"/>
      <c r="M44" s="192"/>
      <c r="N44" s="192"/>
    </row>
    <row r="45" spans="2:14" ht="7.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6.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7.5" customHeight="1">
      <c r="B47" s="53"/>
      <c r="C47" s="54"/>
      <c r="D47" s="54"/>
      <c r="E47" s="222"/>
      <c r="F47" s="249"/>
      <c r="G47" s="249"/>
      <c r="H47" s="53"/>
      <c r="I47" s="53"/>
    </row>
    <row r="48" spans="2:14" ht="14.2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5.25" customHeight="1">
      <c r="B49" s="55"/>
      <c r="C49" s="56"/>
      <c r="D49" s="56"/>
      <c r="E49" s="222"/>
      <c r="F49" s="203"/>
      <c r="G49" s="55"/>
      <c r="H49" s="57"/>
      <c r="I49" s="53"/>
    </row>
    <row r="50" spans="2:9" ht="17.2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3"/>
    </row>
    <row r="51" spans="2:9">
      <c r="E51" s="210"/>
    </row>
  </sheetData>
  <mergeCells count="57">
    <mergeCell ref="B1:H1"/>
    <mergeCell ref="G39:H39"/>
    <mergeCell ref="B5:H6"/>
    <mergeCell ref="D8:E8"/>
    <mergeCell ref="B23:H23"/>
    <mergeCell ref="B24:B25"/>
    <mergeCell ref="C24:C25"/>
    <mergeCell ref="D24:D25"/>
    <mergeCell ref="E24:E25"/>
    <mergeCell ref="F24:G24"/>
    <mergeCell ref="H24:H25"/>
    <mergeCell ref="B2:H2"/>
    <mergeCell ref="B3:H3"/>
    <mergeCell ref="B37:H37"/>
    <mergeCell ref="E19:F19"/>
    <mergeCell ref="G19:H19"/>
    <mergeCell ref="C18:D18"/>
    <mergeCell ref="E18:F18"/>
    <mergeCell ref="G18:H18"/>
    <mergeCell ref="C21:D21"/>
    <mergeCell ref="E21:F21"/>
    <mergeCell ref="G21:H21"/>
    <mergeCell ref="C19:D19"/>
    <mergeCell ref="C20:D20"/>
    <mergeCell ref="G20:H20"/>
    <mergeCell ref="E20:F20"/>
    <mergeCell ref="B4:H4"/>
    <mergeCell ref="B16:H16"/>
    <mergeCell ref="C17:D17"/>
    <mergeCell ref="E17:F17"/>
    <mergeCell ref="G17:H17"/>
    <mergeCell ref="G38:H38"/>
    <mergeCell ref="E38:F38"/>
    <mergeCell ref="C40:D40"/>
    <mergeCell ref="C41:D41"/>
    <mergeCell ref="C42:D42"/>
    <mergeCell ref="C46:E46"/>
    <mergeCell ref="C48:E48"/>
    <mergeCell ref="E42:F42"/>
    <mergeCell ref="G41:H41"/>
    <mergeCell ref="G42:H42"/>
    <mergeCell ref="M23:M24"/>
    <mergeCell ref="N23:N24"/>
    <mergeCell ref="C38:D38"/>
    <mergeCell ref="F50:G50"/>
    <mergeCell ref="E39:F39"/>
    <mergeCell ref="F46:G46"/>
    <mergeCell ref="E40:F40"/>
    <mergeCell ref="F47:G47"/>
    <mergeCell ref="E41:F41"/>
    <mergeCell ref="F48:G48"/>
    <mergeCell ref="C50:E50"/>
    <mergeCell ref="G40:H40"/>
    <mergeCell ref="F44:G44"/>
    <mergeCell ref="F45:G45"/>
    <mergeCell ref="C44:E44"/>
    <mergeCell ref="C39:D39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P53"/>
  <sheetViews>
    <sheetView zoomScale="110" zoomScaleNormal="110" workbookViewId="0">
      <selection activeCell="B1" sqref="B1:H51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5.140625" style="133" customWidth="1"/>
    <col min="4" max="4" width="8.28515625" style="3" customWidth="1"/>
    <col min="5" max="5" width="9.28515625" style="3" customWidth="1"/>
    <col min="6" max="6" width="11.7109375" style="1" customWidth="1"/>
    <col min="7" max="8" width="11" style="1" customWidth="1"/>
    <col min="9" max="9" width="14.85546875" style="1" customWidth="1"/>
    <col min="10" max="10" width="15.7109375" style="1" customWidth="1"/>
    <col min="11" max="12" width="9.140625" style="1"/>
    <col min="13" max="13" width="14.85546875" style="188" customWidth="1"/>
    <col min="14" max="14" width="15.140625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162</v>
      </c>
      <c r="C3" s="253"/>
      <c r="D3" s="253"/>
      <c r="E3" s="253"/>
      <c r="F3" s="253"/>
      <c r="G3" s="253"/>
      <c r="H3" s="253"/>
    </row>
    <row r="4" spans="1:9">
      <c r="B4" s="253" t="s">
        <v>179</v>
      </c>
      <c r="C4" s="253"/>
      <c r="D4" s="253"/>
      <c r="E4" s="253"/>
      <c r="F4" s="253"/>
      <c r="G4" s="253"/>
      <c r="H4" s="253"/>
    </row>
    <row r="5" spans="1:9" ht="19.5" customHeight="1">
      <c r="A5" s="72"/>
      <c r="B5" s="254" t="s">
        <v>180</v>
      </c>
      <c r="C5" s="254"/>
      <c r="D5" s="254"/>
      <c r="E5" s="254"/>
      <c r="F5" s="254"/>
      <c r="G5" s="254"/>
      <c r="H5" s="254"/>
    </row>
    <row r="6" spans="1:9" ht="20.25" customHeight="1">
      <c r="A6" s="72"/>
      <c r="B6" s="254"/>
      <c r="C6" s="254"/>
      <c r="D6" s="254"/>
      <c r="E6" s="254"/>
      <c r="F6" s="254"/>
      <c r="G6" s="254"/>
      <c r="H6" s="254"/>
    </row>
    <row r="7" spans="1:9" ht="8.25" customHeight="1"/>
    <row r="8" spans="1:9">
      <c r="B8" s="169" t="s">
        <v>0</v>
      </c>
      <c r="C8" s="180"/>
      <c r="D8" s="261" t="s">
        <v>46</v>
      </c>
      <c r="E8" s="261"/>
      <c r="F8" s="169"/>
    </row>
    <row r="9" spans="1:9">
      <c r="B9" s="169" t="s">
        <v>1</v>
      </c>
      <c r="C9" s="180"/>
      <c r="D9" s="206">
        <v>2009</v>
      </c>
      <c r="E9" s="206"/>
      <c r="F9" s="169"/>
    </row>
    <row r="10" spans="1:9" ht="15.75" hidden="1" customHeight="1" outlineLevel="1">
      <c r="B10" s="169" t="s">
        <v>2</v>
      </c>
      <c r="C10" s="180"/>
      <c r="D10" s="206">
        <v>5</v>
      </c>
      <c r="E10" s="206"/>
      <c r="F10" s="169"/>
    </row>
    <row r="11" spans="1:9" ht="15.75" hidden="1" customHeight="1" outlineLevel="1">
      <c r="B11" s="169" t="s">
        <v>3</v>
      </c>
      <c r="C11" s="180"/>
      <c r="D11" s="206">
        <v>40</v>
      </c>
      <c r="E11" s="206"/>
      <c r="F11" s="169"/>
    </row>
    <row r="12" spans="1:9" ht="30.75" hidden="1" customHeight="1" outlineLevel="1">
      <c r="B12" s="171" t="s">
        <v>4</v>
      </c>
      <c r="C12" s="181"/>
      <c r="D12" s="206" t="s">
        <v>47</v>
      </c>
      <c r="E12" s="206"/>
      <c r="F12" s="169"/>
    </row>
    <row r="13" spans="1:9" collapsed="1">
      <c r="B13" s="169" t="s">
        <v>5</v>
      </c>
      <c r="C13" s="180"/>
      <c r="D13" s="206" t="s">
        <v>125</v>
      </c>
      <c r="E13" s="206"/>
      <c r="F13" s="169"/>
      <c r="I13" s="5"/>
    </row>
    <row r="14" spans="1:9" ht="15.75" hidden="1" customHeight="1" outlineLevel="1">
      <c r="B14" s="1" t="s">
        <v>6</v>
      </c>
      <c r="D14" s="162" t="s">
        <v>7</v>
      </c>
      <c r="E14" s="162"/>
    </row>
    <row r="15" spans="1:9" ht="30.75" hidden="1" customHeight="1" outlineLevel="1">
      <c r="B15" s="16" t="s">
        <v>8</v>
      </c>
      <c r="C15" s="134"/>
      <c r="D15" s="207" t="s">
        <v>45</v>
      </c>
      <c r="E15" s="162"/>
      <c r="I15" s="5"/>
    </row>
    <row r="16" spans="1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6" ht="39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6">
      <c r="B18" s="156" t="s">
        <v>11</v>
      </c>
      <c r="C18" s="266">
        <v>2493854.6</v>
      </c>
      <c r="D18" s="279"/>
      <c r="E18" s="266">
        <v>1973915.92</v>
      </c>
      <c r="F18" s="279"/>
      <c r="G18" s="266">
        <v>519938.68000000005</v>
      </c>
      <c r="H18" s="285"/>
      <c r="I18" s="5"/>
    </row>
    <row r="19" spans="2:16">
      <c r="B19" s="157" t="s">
        <v>12</v>
      </c>
      <c r="C19" s="230">
        <v>2336744.75</v>
      </c>
      <c r="D19" s="280"/>
      <c r="E19" s="230">
        <v>1847338.4100000001</v>
      </c>
      <c r="F19" s="280"/>
      <c r="G19" s="230">
        <v>489406.33999999997</v>
      </c>
      <c r="H19" s="293"/>
      <c r="I19" s="5"/>
    </row>
    <row r="20" spans="2:16" ht="16.5" thickBot="1">
      <c r="B20" s="158" t="s">
        <v>88</v>
      </c>
      <c r="C20" s="269">
        <v>2619127.6208999995</v>
      </c>
      <c r="D20" s="276"/>
      <c r="E20" s="269">
        <v>1982281.6208999997</v>
      </c>
      <c r="F20" s="276"/>
      <c r="G20" s="269">
        <v>636846</v>
      </c>
      <c r="H20" s="292"/>
      <c r="I20" s="5"/>
    </row>
    <row r="21" spans="2:16" ht="36.75" thickBot="1">
      <c r="B21" s="159" t="s">
        <v>146</v>
      </c>
      <c r="C21" s="234">
        <f>E21+G21</f>
        <v>-282382.87089999963</v>
      </c>
      <c r="D21" s="277"/>
      <c r="E21" s="245">
        <f>E19-E20</f>
        <v>-134943.2108999996</v>
      </c>
      <c r="F21" s="277"/>
      <c r="G21" s="245">
        <f>G19-G20</f>
        <v>-147439.66000000003</v>
      </c>
      <c r="H21" s="294"/>
      <c r="I21" s="5"/>
    </row>
    <row r="22" spans="2:16">
      <c r="B22" s="16"/>
      <c r="C22" s="134"/>
      <c r="D22" s="207"/>
      <c r="E22" s="162"/>
      <c r="I22" s="5"/>
    </row>
    <row r="23" spans="2:16" ht="34.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6" s="205" customFormat="1" ht="32.2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I24" s="1"/>
      <c r="J24" s="1"/>
      <c r="K24" s="1"/>
      <c r="L24" s="5"/>
      <c r="M24" s="278"/>
      <c r="N24" s="278"/>
      <c r="O24" s="1"/>
      <c r="P24" s="1"/>
    </row>
    <row r="25" spans="2:16" s="2" customFormat="1" ht="53.2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"/>
      <c r="J25" s="1"/>
      <c r="K25" s="1"/>
      <c r="L25" s="1"/>
      <c r="M25" s="189">
        <v>217820.1</v>
      </c>
      <c r="N25" s="189">
        <f>M25*1.05</f>
        <v>228711.10500000001</v>
      </c>
      <c r="O25" s="1"/>
      <c r="P25" s="1"/>
    </row>
    <row r="26" spans="2:16" ht="4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22974.060298507462</v>
      </c>
      <c r="G26" s="25">
        <f>$N$25/$N$26*E26</f>
        <v>24122.763313432835</v>
      </c>
      <c r="H26" s="26">
        <f>F26-G26</f>
        <v>-1148.7030149253733</v>
      </c>
      <c r="I26" s="27"/>
      <c r="J26" s="205"/>
      <c r="K26" s="205"/>
      <c r="L26" s="28"/>
      <c r="M26" s="191">
        <f>E36-E33</f>
        <v>10.050000000000001</v>
      </c>
      <c r="N26" s="191">
        <f>E36-E33</f>
        <v>10.050000000000001</v>
      </c>
    </row>
    <row r="27" spans="2:16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25791.633731343281</v>
      </c>
      <c r="G27" s="25">
        <f t="shared" ref="G27:G31" si="1">$N$25/$N$26*E27</f>
        <v>27081.215417910447</v>
      </c>
      <c r="H27" s="26">
        <f t="shared" ref="H27:H32" si="2">F27-G27</f>
        <v>-1289.5816865671659</v>
      </c>
      <c r="I27" s="32"/>
      <c r="J27" s="2"/>
      <c r="K27" s="2"/>
      <c r="L27" s="2"/>
      <c r="M27" s="192"/>
      <c r="N27" s="192"/>
    </row>
    <row r="28" spans="2:16" ht="37.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6935.5653731343282</v>
      </c>
      <c r="G28" s="25">
        <f t="shared" si="1"/>
        <v>7282.3436417910443</v>
      </c>
      <c r="H28" s="26">
        <f t="shared" si="2"/>
        <v>-346.77826865671614</v>
      </c>
      <c r="I28" s="34"/>
      <c r="L28" s="5"/>
    </row>
    <row r="29" spans="2:16" ht="25.5">
      <c r="B29" s="33" t="s">
        <v>84</v>
      </c>
      <c r="C29" s="35" t="s">
        <v>99</v>
      </c>
      <c r="D29" s="22" t="s">
        <v>98</v>
      </c>
      <c r="E29" s="30">
        <v>0.13</v>
      </c>
      <c r="F29" s="24">
        <f t="shared" si="0"/>
        <v>2817.5734328358208</v>
      </c>
      <c r="G29" s="25">
        <f t="shared" si="1"/>
        <v>2958.452104477612</v>
      </c>
      <c r="H29" s="26">
        <f t="shared" si="2"/>
        <v>-140.87867164179124</v>
      </c>
      <c r="I29" s="34"/>
      <c r="L29" s="5"/>
    </row>
    <row r="30" spans="2:16" s="2" customFormat="1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25574.897313432833</v>
      </c>
      <c r="G30" s="25">
        <f t="shared" si="1"/>
        <v>26853.642179104474</v>
      </c>
      <c r="H30" s="26">
        <f t="shared" si="2"/>
        <v>-1278.7448656716406</v>
      </c>
      <c r="I30" s="34"/>
      <c r="J30" s="1"/>
      <c r="K30" s="1"/>
      <c r="L30" s="1"/>
      <c r="M30" s="188"/>
      <c r="N30" s="188"/>
      <c r="O30" s="1"/>
      <c r="P30" s="1"/>
    </row>
    <row r="31" spans="2:16" ht="225" customHeight="1">
      <c r="B31" s="29" t="s">
        <v>121</v>
      </c>
      <c r="C31" s="21" t="s">
        <v>100</v>
      </c>
      <c r="D31" s="22" t="s">
        <v>98</v>
      </c>
      <c r="E31" s="30">
        <v>5.14</v>
      </c>
      <c r="F31" s="24">
        <f t="shared" si="0"/>
        <v>111402.51880597013</v>
      </c>
      <c r="G31" s="25">
        <f t="shared" si="1"/>
        <v>116972.64474626865</v>
      </c>
      <c r="H31" s="26">
        <f t="shared" si="2"/>
        <v>-5570.1259402985161</v>
      </c>
      <c r="I31" s="32"/>
      <c r="J31" s="2"/>
      <c r="K31" s="2"/>
      <c r="L31" s="4"/>
      <c r="M31" s="192"/>
      <c r="N31" s="192"/>
    </row>
    <row r="32" spans="2:16" ht="114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5201.6740298507457</v>
      </c>
      <c r="G32" s="25">
        <f t="shared" ref="G32:G34" si="3">$N$25/$N$26*E32</f>
        <v>5461.757731343283</v>
      </c>
      <c r="H32" s="26">
        <f t="shared" si="2"/>
        <v>-260.08370149253733</v>
      </c>
      <c r="I32" s="34"/>
    </row>
    <row r="33" spans="2:16" ht="27.75" customHeight="1">
      <c r="B33" s="33" t="s">
        <v>91</v>
      </c>
      <c r="C33" s="21" t="s">
        <v>97</v>
      </c>
      <c r="D33" s="22" t="s">
        <v>98</v>
      </c>
      <c r="E33" s="30">
        <v>4.2</v>
      </c>
      <c r="F33" s="24">
        <v>91029.3</v>
      </c>
      <c r="G33" s="31">
        <v>70951</v>
      </c>
      <c r="H33" s="26">
        <f>F33-G33</f>
        <v>20078.300000000003</v>
      </c>
      <c r="I33" s="34"/>
      <c r="L33" s="5"/>
    </row>
    <row r="34" spans="2:16">
      <c r="B34" s="33" t="s">
        <v>92</v>
      </c>
      <c r="C34" s="35" t="s">
        <v>99</v>
      </c>
      <c r="D34" s="22" t="s">
        <v>98</v>
      </c>
      <c r="E34" s="30">
        <v>0.48</v>
      </c>
      <c r="F34" s="24">
        <f t="shared" si="0"/>
        <v>10403.348059701491</v>
      </c>
      <c r="G34" s="25">
        <f t="shared" si="3"/>
        <v>10923.515462686566</v>
      </c>
      <c r="H34" s="26">
        <f t="shared" ref="H34:H35" si="4">F34-G34</f>
        <v>-520.16740298507466</v>
      </c>
      <c r="I34" s="34"/>
      <c r="J34" s="65"/>
      <c r="K34" s="65"/>
      <c r="L34" s="5"/>
      <c r="M34" s="193"/>
    </row>
    <row r="35" spans="2:16">
      <c r="B35" s="33" t="s">
        <v>85</v>
      </c>
      <c r="C35" s="135" t="s">
        <v>100</v>
      </c>
      <c r="D35" s="22" t="s">
        <v>98</v>
      </c>
      <c r="E35" s="30">
        <v>0.31</v>
      </c>
      <c r="F35" s="24">
        <f t="shared" ref="F35" si="5">$M$25/$M$26*E35</f>
        <v>6718.8289552238803</v>
      </c>
      <c r="G35" s="25">
        <f t="shared" ref="G35" si="6">$N$25/$N$26*E35</f>
        <v>7054.7704029850747</v>
      </c>
      <c r="H35" s="26">
        <f t="shared" si="4"/>
        <v>-335.94144776119447</v>
      </c>
      <c r="I35" s="34"/>
    </row>
    <row r="36" spans="2:16" s="67" customFormat="1" ht="16.5" thickBot="1">
      <c r="B36" s="136" t="s">
        <v>89</v>
      </c>
      <c r="C36" s="137"/>
      <c r="D36" s="137"/>
      <c r="E36" s="138">
        <f>SUM(E26:E35)</f>
        <v>14.250000000000002</v>
      </c>
      <c r="F36" s="139">
        <f>SUM(F26:F35)</f>
        <v>308849.40000000002</v>
      </c>
      <c r="G36" s="140">
        <f>SUM(G26:G35)</f>
        <v>299662.10499999998</v>
      </c>
      <c r="H36" s="141">
        <f>SUM(H26:H35)</f>
        <v>9187.294999999991</v>
      </c>
      <c r="I36" s="66"/>
      <c r="J36" s="1"/>
      <c r="K36" s="1"/>
      <c r="L36" s="1"/>
      <c r="M36" s="188"/>
      <c r="N36" s="188"/>
      <c r="O36" s="1"/>
      <c r="P36" s="1"/>
    </row>
    <row r="37" spans="2:16" s="3" customFormat="1">
      <c r="B37" s="5"/>
      <c r="C37" s="5"/>
      <c r="D37" s="5"/>
      <c r="E37" s="15"/>
      <c r="F37" s="15"/>
      <c r="G37" s="15"/>
      <c r="I37" s="1"/>
      <c r="J37" s="1"/>
      <c r="K37" s="1"/>
      <c r="L37" s="1"/>
      <c r="M37" s="188"/>
      <c r="N37" s="188"/>
      <c r="O37" s="1"/>
      <c r="P37" s="1"/>
    </row>
    <row r="38" spans="2:16" ht="16.5" customHeight="1" thickBot="1">
      <c r="B38" s="240" t="s">
        <v>184</v>
      </c>
      <c r="C38" s="240"/>
      <c r="D38" s="240"/>
      <c r="E38" s="240"/>
      <c r="F38" s="240"/>
      <c r="G38" s="240"/>
      <c r="H38" s="240"/>
      <c r="I38" s="46"/>
      <c r="J38" s="46"/>
    </row>
    <row r="39" spans="2:16" ht="45.75" customHeight="1" thickBot="1">
      <c r="B39" s="187" t="s">
        <v>183</v>
      </c>
      <c r="C39" s="226" t="s">
        <v>101</v>
      </c>
      <c r="D39" s="227"/>
      <c r="E39" s="236" t="s">
        <v>9</v>
      </c>
      <c r="F39" s="237"/>
      <c r="G39" s="236" t="s">
        <v>10</v>
      </c>
      <c r="H39" s="243"/>
      <c r="I39" s="163"/>
      <c r="J39" s="164"/>
      <c r="K39" s="47"/>
      <c r="L39" s="48"/>
      <c r="M39" s="193"/>
      <c r="N39" s="193"/>
    </row>
    <row r="40" spans="2:16">
      <c r="B40" s="156" t="s">
        <v>11</v>
      </c>
      <c r="C40" s="266">
        <f>E40+G40</f>
        <v>2802704.02</v>
      </c>
      <c r="D40" s="279"/>
      <c r="E40" s="266">
        <f>F27+F28+F29+F30+F31+F34+F32+F35+E18+F26</f>
        <v>2191736.02</v>
      </c>
      <c r="F40" s="279"/>
      <c r="G40" s="266">
        <f>F33+G18+0.02</f>
        <v>610968.00000000012</v>
      </c>
      <c r="H40" s="285"/>
      <c r="I40" s="165"/>
      <c r="J40" s="166"/>
      <c r="K40" s="50"/>
      <c r="L40" s="50"/>
      <c r="M40" s="194"/>
    </row>
    <row r="41" spans="2:16">
      <c r="B41" s="157" t="s">
        <v>12</v>
      </c>
      <c r="C41" s="230">
        <f>E41+G41</f>
        <v>2651710.0100000002</v>
      </c>
      <c r="D41" s="280"/>
      <c r="E41" s="230">
        <f>E19+222047.8</f>
        <v>2069386.2100000002</v>
      </c>
      <c r="F41" s="280"/>
      <c r="G41" s="230">
        <f>G19+92796.09+121.37</f>
        <v>582323.79999999993</v>
      </c>
      <c r="H41" s="293"/>
      <c r="I41" s="165"/>
      <c r="J41" s="167"/>
      <c r="K41" s="52"/>
      <c r="L41" s="50"/>
      <c r="M41" s="194"/>
    </row>
    <row r="42" spans="2:16" s="2" customFormat="1" ht="16.5" thickBot="1">
      <c r="B42" s="158" t="s">
        <v>88</v>
      </c>
      <c r="C42" s="269">
        <f>E42+G42</f>
        <v>2918789.7258999995</v>
      </c>
      <c r="D42" s="276"/>
      <c r="E42" s="269">
        <f>G27+G28+G29+G30+G31+G32+G34+G35+E20+G26</f>
        <v>2210992.7258999995</v>
      </c>
      <c r="F42" s="276"/>
      <c r="G42" s="269">
        <f>G33+G20</f>
        <v>707797</v>
      </c>
      <c r="H42" s="292"/>
      <c r="I42" s="165"/>
      <c r="J42" s="49"/>
      <c r="K42" s="34"/>
      <c r="L42" s="34"/>
      <c r="M42" s="188"/>
      <c r="N42" s="188"/>
      <c r="O42" s="1"/>
      <c r="P42" s="1"/>
    </row>
    <row r="43" spans="2:16" s="2" customFormat="1" ht="28.5" customHeight="1" thickBot="1">
      <c r="B43" s="159" t="s">
        <v>147</v>
      </c>
      <c r="C43" s="234">
        <f>E43+G43</f>
        <v>-267079.71589999937</v>
      </c>
      <c r="D43" s="277"/>
      <c r="E43" s="245">
        <f>E41-E42</f>
        <v>-141606.5158999993</v>
      </c>
      <c r="F43" s="277"/>
      <c r="G43" s="245">
        <f>G41-G42</f>
        <v>-125473.20000000007</v>
      </c>
      <c r="H43" s="294"/>
      <c r="I43" s="168"/>
      <c r="J43" s="153"/>
      <c r="K43" s="34"/>
      <c r="L43" s="34"/>
      <c r="M43" s="188"/>
      <c r="N43" s="188"/>
      <c r="O43" s="1"/>
      <c r="P43" s="1"/>
    </row>
    <row r="44" spans="2:16" s="2" customFormat="1" ht="18" customHeight="1">
      <c r="B44" s="79"/>
      <c r="C44" s="151"/>
      <c r="D44" s="151"/>
      <c r="E44" s="153"/>
      <c r="F44" s="153"/>
      <c r="G44" s="153"/>
      <c r="H44" s="153"/>
      <c r="I44" s="53"/>
      <c r="M44" s="192"/>
      <c r="N44" s="192"/>
      <c r="O44" s="1"/>
      <c r="P44" s="1"/>
    </row>
    <row r="45" spans="2:16" ht="16.5" customHeight="1">
      <c r="B45" s="53" t="s">
        <v>77</v>
      </c>
      <c r="C45" s="223" t="s">
        <v>150</v>
      </c>
      <c r="D45" s="223"/>
      <c r="E45" s="223"/>
      <c r="F45" s="249" t="s">
        <v>175</v>
      </c>
      <c r="G45" s="249"/>
      <c r="H45" s="53"/>
      <c r="I45" s="53"/>
      <c r="J45" s="2"/>
      <c r="K45" s="2"/>
      <c r="L45" s="2"/>
      <c r="M45" s="192"/>
      <c r="N45" s="192"/>
    </row>
    <row r="46" spans="2:16" ht="8.25" customHeight="1">
      <c r="B46" s="53"/>
      <c r="C46" s="54"/>
      <c r="D46" s="54"/>
      <c r="E46" s="208"/>
      <c r="F46" s="250"/>
      <c r="G46" s="250"/>
      <c r="H46" s="53"/>
      <c r="I46" s="53"/>
      <c r="J46" s="2"/>
      <c r="K46" s="2"/>
      <c r="L46" s="2"/>
      <c r="M46" s="192"/>
      <c r="N46" s="192"/>
    </row>
    <row r="47" spans="2:16" ht="15.75" customHeight="1">
      <c r="B47" s="53" t="s">
        <v>78</v>
      </c>
      <c r="C47" s="223" t="s">
        <v>150</v>
      </c>
      <c r="D47" s="223"/>
      <c r="E47" s="223"/>
      <c r="F47" s="249" t="s">
        <v>93</v>
      </c>
      <c r="G47" s="249"/>
      <c r="H47" s="53"/>
      <c r="I47" s="53"/>
    </row>
    <row r="48" spans="2:16" ht="9.75" customHeight="1">
      <c r="B48" s="53"/>
      <c r="C48" s="54"/>
      <c r="D48" s="54"/>
      <c r="E48" s="208"/>
      <c r="F48" s="249"/>
      <c r="G48" s="249"/>
      <c r="H48" s="53"/>
      <c r="I48" s="53"/>
    </row>
    <row r="49" spans="2:9" ht="13.5" customHeight="1">
      <c r="B49" s="53" t="s">
        <v>79</v>
      </c>
      <c r="C49" s="223" t="s">
        <v>151</v>
      </c>
      <c r="D49" s="223"/>
      <c r="E49" s="223"/>
      <c r="F49" s="249" t="s">
        <v>176</v>
      </c>
      <c r="G49" s="249"/>
      <c r="H49" s="53"/>
      <c r="I49" s="6"/>
    </row>
    <row r="50" spans="2:9" ht="6.75" customHeight="1">
      <c r="B50" s="55"/>
      <c r="C50" s="56"/>
      <c r="D50" s="56"/>
      <c r="E50" s="208"/>
      <c r="F50" s="203"/>
      <c r="G50" s="55"/>
      <c r="H50" s="57"/>
      <c r="I50" s="53"/>
    </row>
    <row r="51" spans="2:9" ht="14.25" customHeight="1">
      <c r="B51" s="53" t="s">
        <v>80</v>
      </c>
      <c r="C51" s="223" t="s">
        <v>151</v>
      </c>
      <c r="D51" s="223"/>
      <c r="E51" s="223"/>
      <c r="F51" s="249" t="s">
        <v>176</v>
      </c>
      <c r="G51" s="249"/>
      <c r="H51" s="53"/>
      <c r="I51" s="3"/>
    </row>
    <row r="52" spans="2:9">
      <c r="B52" s="9"/>
      <c r="C52" s="70"/>
      <c r="D52" s="71"/>
      <c r="E52" s="71"/>
      <c r="F52" s="9"/>
      <c r="G52" s="9"/>
    </row>
    <row r="53" spans="2:9">
      <c r="C53" s="1"/>
      <c r="D53" s="1"/>
      <c r="E53" s="1"/>
    </row>
  </sheetData>
  <mergeCells count="57">
    <mergeCell ref="B1:H1"/>
    <mergeCell ref="D8:E8"/>
    <mergeCell ref="B5:H6"/>
    <mergeCell ref="B38:H38"/>
    <mergeCell ref="B23:H23"/>
    <mergeCell ref="B24:B25"/>
    <mergeCell ref="C24:C25"/>
    <mergeCell ref="D24:D25"/>
    <mergeCell ref="E24:E25"/>
    <mergeCell ref="F24:G24"/>
    <mergeCell ref="H24:H25"/>
    <mergeCell ref="B2:H2"/>
    <mergeCell ref="B3:H3"/>
    <mergeCell ref="B4:H4"/>
    <mergeCell ref="F51:G51"/>
    <mergeCell ref="E41:F41"/>
    <mergeCell ref="F48:G48"/>
    <mergeCell ref="E42:F42"/>
    <mergeCell ref="E43:F43"/>
    <mergeCell ref="C49:E49"/>
    <mergeCell ref="F49:G49"/>
    <mergeCell ref="C51:E51"/>
    <mergeCell ref="F46:G46"/>
    <mergeCell ref="E40:F40"/>
    <mergeCell ref="F47:G47"/>
    <mergeCell ref="F45:G45"/>
    <mergeCell ref="G42:H42"/>
    <mergeCell ref="G43:H43"/>
    <mergeCell ref="C47:E47"/>
    <mergeCell ref="C40:D40"/>
    <mergeCell ref="C41:D41"/>
    <mergeCell ref="C42:D42"/>
    <mergeCell ref="C43:D43"/>
    <mergeCell ref="C45:E45"/>
    <mergeCell ref="G41:H41"/>
    <mergeCell ref="G40:H40"/>
    <mergeCell ref="C39:D39"/>
    <mergeCell ref="B16:H16"/>
    <mergeCell ref="C17:D17"/>
    <mergeCell ref="E17:F17"/>
    <mergeCell ref="G17:H17"/>
    <mergeCell ref="C18:D18"/>
    <mergeCell ref="E18:F18"/>
    <mergeCell ref="G18:H18"/>
    <mergeCell ref="G39:H39"/>
    <mergeCell ref="E39:F39"/>
    <mergeCell ref="M23:M24"/>
    <mergeCell ref="N23:N24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</mergeCells>
  <printOptions horizontalCentered="1"/>
  <pageMargins left="0.19685039370078741" right="0.19685039370078741" top="0.15748031496062992" bottom="0.23622047244094491" header="0.15" footer="0.31496062992125984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N51"/>
  <sheetViews>
    <sheetView topLeftCell="A13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85546875" style="133" customWidth="1"/>
    <col min="4" max="4" width="8.85546875" style="3" customWidth="1"/>
    <col min="5" max="5" width="10.140625" style="3" customWidth="1"/>
    <col min="6" max="6" width="10.140625" style="1" customWidth="1"/>
    <col min="7" max="7" width="10.28515625" style="1" customWidth="1"/>
    <col min="8" max="8" width="10.85546875" style="1" customWidth="1"/>
    <col min="9" max="10" width="14.5703125" style="1" customWidth="1"/>
    <col min="11" max="12" width="9.140625" style="1"/>
    <col min="13" max="13" width="15.140625" style="188" customWidth="1"/>
    <col min="14" max="14" width="14.85546875" style="188" customWidth="1"/>
    <col min="15" max="16384" width="9.140625" style="1"/>
  </cols>
  <sheetData>
    <row r="1" spans="2:9">
      <c r="B1" s="253" t="s">
        <v>119</v>
      </c>
      <c r="C1" s="253"/>
      <c r="D1" s="253"/>
      <c r="E1" s="253"/>
      <c r="F1" s="253"/>
      <c r="G1" s="253"/>
      <c r="H1" s="253"/>
    </row>
    <row r="2" spans="2:9">
      <c r="B2" s="253" t="s">
        <v>120</v>
      </c>
      <c r="C2" s="253"/>
      <c r="D2" s="253"/>
      <c r="E2" s="253"/>
      <c r="F2" s="253"/>
      <c r="G2" s="253"/>
      <c r="H2" s="253"/>
    </row>
    <row r="3" spans="2:9">
      <c r="B3" s="253" t="s">
        <v>163</v>
      </c>
      <c r="C3" s="253"/>
      <c r="D3" s="253"/>
      <c r="E3" s="253"/>
      <c r="F3" s="253"/>
      <c r="G3" s="253"/>
      <c r="H3" s="253"/>
    </row>
    <row r="4" spans="2:9">
      <c r="B4" s="253" t="s">
        <v>179</v>
      </c>
      <c r="C4" s="253"/>
      <c r="D4" s="253"/>
      <c r="E4" s="253"/>
      <c r="F4" s="253"/>
      <c r="G4" s="253"/>
      <c r="H4" s="253"/>
    </row>
    <row r="5" spans="2:9" ht="23.25" customHeight="1">
      <c r="B5" s="254" t="s">
        <v>180</v>
      </c>
      <c r="C5" s="254"/>
      <c r="D5" s="254"/>
      <c r="E5" s="254"/>
      <c r="F5" s="254"/>
      <c r="G5" s="254"/>
      <c r="H5" s="254"/>
    </row>
    <row r="6" spans="2:9" ht="20.25" customHeight="1">
      <c r="B6" s="254"/>
      <c r="C6" s="254"/>
      <c r="D6" s="254"/>
      <c r="E6" s="254"/>
      <c r="F6" s="254"/>
      <c r="G6" s="254"/>
      <c r="H6" s="254"/>
    </row>
    <row r="7" spans="2:9" ht="8.25" customHeight="1"/>
    <row r="8" spans="2:9">
      <c r="B8" s="169" t="s">
        <v>0</v>
      </c>
      <c r="C8" s="180"/>
      <c r="D8" s="261" t="s">
        <v>48</v>
      </c>
      <c r="E8" s="261"/>
    </row>
    <row r="9" spans="2:9">
      <c r="B9" s="169" t="s">
        <v>1</v>
      </c>
      <c r="C9" s="180"/>
      <c r="D9" s="213">
        <v>1970</v>
      </c>
      <c r="E9" s="213"/>
    </row>
    <row r="10" spans="2:9" hidden="1" outlineLevel="1">
      <c r="B10" s="169" t="s">
        <v>2</v>
      </c>
      <c r="C10" s="180"/>
      <c r="D10" s="213">
        <v>4</v>
      </c>
      <c r="E10" s="213"/>
    </row>
    <row r="11" spans="2:9" hidden="1" outlineLevel="1">
      <c r="B11" s="169" t="s">
        <v>3</v>
      </c>
      <c r="C11" s="180"/>
      <c r="D11" s="213">
        <v>48</v>
      </c>
      <c r="E11" s="213"/>
    </row>
    <row r="12" spans="2:9" ht="30.75" hidden="1" customHeight="1" outlineLevel="1">
      <c r="B12" s="171" t="s">
        <v>4</v>
      </c>
      <c r="C12" s="181"/>
      <c r="D12" s="213" t="s">
        <v>49</v>
      </c>
      <c r="E12" s="213"/>
    </row>
    <row r="13" spans="2:9" collapsed="1">
      <c r="B13" s="169" t="s">
        <v>5</v>
      </c>
      <c r="C13" s="180"/>
      <c r="D13" s="213" t="s">
        <v>112</v>
      </c>
      <c r="E13" s="213"/>
      <c r="I13" s="5"/>
    </row>
    <row r="14" spans="2:9" hidden="1" outlineLevel="1">
      <c r="B14" s="1" t="s">
        <v>6</v>
      </c>
      <c r="D14" s="162" t="s">
        <v>7</v>
      </c>
      <c r="E14" s="162"/>
    </row>
    <row r="15" spans="2:9" ht="30.75" hidden="1" customHeight="1" outlineLevel="1">
      <c r="B15" s="16" t="s">
        <v>8</v>
      </c>
      <c r="C15" s="134"/>
      <c r="D15" s="214" t="s">
        <v>50</v>
      </c>
      <c r="E15" s="162"/>
      <c r="I15" s="5"/>
    </row>
    <row r="16" spans="2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2.7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3023564.81</v>
      </c>
      <c r="D18" s="267"/>
      <c r="E18" s="228">
        <v>2294288.39</v>
      </c>
      <c r="F18" s="229"/>
      <c r="G18" s="228">
        <v>729276.41999999993</v>
      </c>
      <c r="H18" s="244"/>
      <c r="I18" s="5"/>
    </row>
    <row r="19" spans="2:14">
      <c r="B19" s="157" t="s">
        <v>12</v>
      </c>
      <c r="C19" s="230">
        <v>2979007.87</v>
      </c>
      <c r="D19" s="268"/>
      <c r="E19" s="230">
        <v>2261292.8200000003</v>
      </c>
      <c r="F19" s="231"/>
      <c r="G19" s="230">
        <v>717715.05</v>
      </c>
      <c r="H19" s="241"/>
      <c r="I19" s="5"/>
    </row>
    <row r="20" spans="2:14" ht="16.5" thickBot="1">
      <c r="B20" s="158" t="s">
        <v>88</v>
      </c>
      <c r="C20" s="269">
        <v>2956722.858</v>
      </c>
      <c r="D20" s="270"/>
      <c r="E20" s="232">
        <v>2367228.858</v>
      </c>
      <c r="F20" s="233"/>
      <c r="G20" s="232">
        <v>589494</v>
      </c>
      <c r="H20" s="242"/>
      <c r="I20" s="5"/>
    </row>
    <row r="21" spans="2:14" ht="31.5" customHeight="1" thickBot="1">
      <c r="B21" s="159" t="s">
        <v>146</v>
      </c>
      <c r="C21" s="234">
        <f>E21+G21</f>
        <v>22285.012000000337</v>
      </c>
      <c r="D21" s="235"/>
      <c r="E21" s="245">
        <f>E19-E20</f>
        <v>-105936.03799999971</v>
      </c>
      <c r="F21" s="246"/>
      <c r="G21" s="245">
        <f>G19-G20</f>
        <v>128221.05000000005</v>
      </c>
      <c r="H21" s="247"/>
      <c r="I21" s="5"/>
    </row>
    <row r="22" spans="2:14">
      <c r="B22" s="16"/>
      <c r="C22" s="134"/>
      <c r="D22" s="214"/>
      <c r="E22" s="162"/>
      <c r="I22" s="5"/>
    </row>
    <row r="23" spans="2:14" ht="36.7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1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43.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250118.62</v>
      </c>
      <c r="N25" s="189">
        <f>M25*1.05</f>
        <v>262624.55099999998</v>
      </c>
    </row>
    <row r="26" spans="2:14" ht="38.25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26328.275789473686</v>
      </c>
      <c r="G26" s="25">
        <f>$N$25/$N$26*E26</f>
        <v>27644.689578947364</v>
      </c>
      <c r="H26" s="26">
        <f>F26-G26</f>
        <v>-1316.4137894736778</v>
      </c>
      <c r="I26" s="27"/>
      <c r="J26" s="209"/>
      <c r="K26" s="209"/>
      <c r="L26" s="28"/>
      <c r="M26" s="191">
        <f>E35-E33</f>
        <v>10.07</v>
      </c>
      <c r="N26" s="191">
        <f>E35-E33</f>
        <v>10.07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29557.215273088379</v>
      </c>
      <c r="G27" s="25">
        <f t="shared" ref="G27:G31" si="1">$N$25/$N$26*E27</f>
        <v>31035.076036742794</v>
      </c>
      <c r="H27" s="26">
        <f t="shared" ref="H27:H32" si="2">F27-G27</f>
        <v>-1477.8607636544148</v>
      </c>
      <c r="I27" s="32"/>
      <c r="J27" s="2"/>
      <c r="K27" s="2"/>
      <c r="L27" s="2"/>
      <c r="M27" s="192"/>
      <c r="N27" s="192"/>
    </row>
    <row r="28" spans="2:14" ht="41.2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7948.1587288977162</v>
      </c>
      <c r="G28" s="25">
        <f t="shared" si="1"/>
        <v>8345.5666653425997</v>
      </c>
      <c r="H28" s="26">
        <f t="shared" si="2"/>
        <v>-397.40793644488349</v>
      </c>
      <c r="I28" s="34"/>
      <c r="L28" s="5"/>
    </row>
    <row r="29" spans="2:14" ht="26.25" customHeight="1">
      <c r="B29" s="33" t="s">
        <v>84</v>
      </c>
      <c r="C29" s="35" t="s">
        <v>99</v>
      </c>
      <c r="D29" s="22" t="s">
        <v>98</v>
      </c>
      <c r="E29" s="30">
        <v>0.28000000000000003</v>
      </c>
      <c r="F29" s="24">
        <f t="shared" si="0"/>
        <v>6954.6388877855024</v>
      </c>
      <c r="G29" s="25">
        <f t="shared" si="1"/>
        <v>7302.3708321747763</v>
      </c>
      <c r="H29" s="26">
        <f t="shared" si="2"/>
        <v>-347.73194438927385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29308.835312810326</v>
      </c>
      <c r="G30" s="25">
        <f t="shared" si="1"/>
        <v>30774.277078450836</v>
      </c>
      <c r="H30" s="26">
        <f t="shared" si="2"/>
        <v>-1465.4417656405094</v>
      </c>
      <c r="I30" s="34"/>
    </row>
    <row r="31" spans="2:14" ht="216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139341.15771598808</v>
      </c>
      <c r="G31" s="25">
        <f t="shared" si="1"/>
        <v>146308.21560178747</v>
      </c>
      <c r="H31" s="26">
        <f t="shared" si="2"/>
        <v>-6967.0578857993823</v>
      </c>
      <c r="I31" s="32"/>
      <c r="J31" s="2"/>
      <c r="K31" s="2"/>
      <c r="L31" s="4"/>
      <c r="M31" s="192"/>
      <c r="N31" s="192"/>
    </row>
    <row r="32" spans="2:14" ht="102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5961.1190466732869</v>
      </c>
      <c r="G32" s="25">
        <f t="shared" ref="G32" si="3">$N$25/$N$26*E32</f>
        <v>6259.1749990069502</v>
      </c>
      <c r="H32" s="26">
        <f t="shared" si="2"/>
        <v>-298.0559523336633</v>
      </c>
      <c r="I32" s="34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3.5</v>
      </c>
      <c r="F33" s="24">
        <v>86932.98</v>
      </c>
      <c r="G33" s="31">
        <v>234634</v>
      </c>
      <c r="H33" s="26">
        <f>F33-G33</f>
        <v>-147701.02000000002</v>
      </c>
      <c r="I33" s="34"/>
      <c r="L33" s="5"/>
    </row>
    <row r="34" spans="2:14" ht="16.5" thickBot="1">
      <c r="B34" s="36" t="s">
        <v>85</v>
      </c>
      <c r="C34" s="37" t="s">
        <v>100</v>
      </c>
      <c r="D34" s="38" t="s">
        <v>98</v>
      </c>
      <c r="E34" s="39">
        <v>0.19</v>
      </c>
      <c r="F34" s="24">
        <f t="shared" si="0"/>
        <v>4719.2192452830186</v>
      </c>
      <c r="G34" s="25">
        <f t="shared" ref="G34" si="4">$N$25/$N$26*E34</f>
        <v>4955.1802075471687</v>
      </c>
      <c r="H34" s="26">
        <f>F34-G34</f>
        <v>-235.96096226415011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13.57</v>
      </c>
      <c r="F35" s="43">
        <f>SUM(F26:F34)</f>
        <v>337051.6</v>
      </c>
      <c r="G35" s="44">
        <f>SUM(G26:G34)</f>
        <v>497258.55099999992</v>
      </c>
      <c r="H35" s="45">
        <f>SUM(H26:H34)</f>
        <v>-160206.95099999997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75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3360616.41</v>
      </c>
      <c r="D39" s="229"/>
      <c r="E39" s="228">
        <f>F26+F27+F28+F29+F30+F31+F32+F34+E18</f>
        <v>2544407.0100000002</v>
      </c>
      <c r="F39" s="229"/>
      <c r="G39" s="228">
        <f>F33+G18</f>
        <v>816209.39999999991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3283758.1200000006</v>
      </c>
      <c r="D40" s="231"/>
      <c r="E40" s="230">
        <f>E19+226148.49</f>
        <v>2487441.3100000005</v>
      </c>
      <c r="F40" s="231"/>
      <c r="G40" s="230">
        <f>G19+78601.76</f>
        <v>796316.81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3453981.409</v>
      </c>
      <c r="D41" s="233"/>
      <c r="E41" s="232">
        <f>G26+G27+G28+G29+G30+G31+G32+G34+E20</f>
        <v>2629853.409</v>
      </c>
      <c r="F41" s="233"/>
      <c r="G41" s="232">
        <f>G33+G20</f>
        <v>824128</v>
      </c>
      <c r="H41" s="242"/>
      <c r="I41" s="165"/>
      <c r="J41" s="49"/>
      <c r="K41" s="34"/>
      <c r="L41" s="34"/>
    </row>
    <row r="42" spans="2:14" ht="30" customHeight="1" thickBot="1">
      <c r="B42" s="159" t="s">
        <v>147</v>
      </c>
      <c r="C42" s="234">
        <f>E42+G42</f>
        <v>-170223.28899999941</v>
      </c>
      <c r="D42" s="235"/>
      <c r="E42" s="245">
        <f>E40-E41</f>
        <v>-142412.09899999946</v>
      </c>
      <c r="F42" s="246"/>
      <c r="G42" s="245">
        <f>G40-G41</f>
        <v>-27811.189999999944</v>
      </c>
      <c r="H42" s="247"/>
      <c r="I42" s="168"/>
      <c r="J42" s="153"/>
      <c r="K42" s="34"/>
      <c r="L42" s="34"/>
    </row>
    <row r="43" spans="2:14" ht="15" customHeight="1">
      <c r="B43" s="79"/>
      <c r="C43" s="151"/>
      <c r="D43" s="151"/>
      <c r="E43" s="153"/>
      <c r="F43" s="153"/>
      <c r="G43" s="153"/>
      <c r="H43" s="153"/>
      <c r="I43" s="176"/>
      <c r="J43" s="32"/>
      <c r="K43" s="2"/>
      <c r="L43" s="2"/>
      <c r="M43" s="192"/>
      <c r="N43" s="192"/>
    </row>
    <row r="44" spans="2:14" ht="15.7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176"/>
      <c r="J44" s="32"/>
      <c r="K44" s="2"/>
      <c r="L44" s="2"/>
      <c r="M44" s="192"/>
      <c r="N44" s="192"/>
    </row>
    <row r="45" spans="2:14" ht="8.25" customHeight="1">
      <c r="B45" s="53"/>
      <c r="C45" s="54"/>
      <c r="D45" s="54"/>
      <c r="E45" s="222"/>
      <c r="F45" s="250"/>
      <c r="G45" s="250"/>
      <c r="H45" s="53"/>
      <c r="I45" s="176"/>
      <c r="J45" s="32"/>
      <c r="K45" s="2"/>
      <c r="L45" s="2"/>
      <c r="M45" s="192"/>
      <c r="N45" s="192"/>
    </row>
    <row r="46" spans="2:14" ht="15.7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6" customHeight="1">
      <c r="B47" s="53"/>
      <c r="C47" s="54"/>
      <c r="D47" s="54"/>
      <c r="E47" s="222"/>
      <c r="F47" s="249"/>
      <c r="G47" s="249"/>
      <c r="H47" s="53"/>
      <c r="I47" s="53"/>
    </row>
    <row r="48" spans="2:14" ht="16.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9" customHeight="1">
      <c r="B49" s="55"/>
      <c r="C49" s="56"/>
      <c r="D49" s="56"/>
      <c r="E49" s="222"/>
      <c r="F49" s="203"/>
      <c r="G49" s="55"/>
      <c r="H49" s="57"/>
      <c r="I49" s="53"/>
    </row>
    <row r="50" spans="2:9" ht="15.7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3"/>
    </row>
    <row r="51" spans="2:9">
      <c r="B51" s="9"/>
      <c r="C51" s="142"/>
      <c r="D51" s="71"/>
      <c r="E51" s="222"/>
      <c r="F51" s="9"/>
      <c r="G51" s="9"/>
    </row>
  </sheetData>
  <mergeCells count="57">
    <mergeCell ref="E18:F18"/>
    <mergeCell ref="G18:H18"/>
    <mergeCell ref="C19:D19"/>
    <mergeCell ref="C38:D38"/>
    <mergeCell ref="C39:D39"/>
    <mergeCell ref="G20:H20"/>
    <mergeCell ref="C21:D21"/>
    <mergeCell ref="E21:F21"/>
    <mergeCell ref="G21:H21"/>
    <mergeCell ref="C40:D40"/>
    <mergeCell ref="C41:D41"/>
    <mergeCell ref="B1:H1"/>
    <mergeCell ref="B5:H6"/>
    <mergeCell ref="D8:E8"/>
    <mergeCell ref="B23:H23"/>
    <mergeCell ref="B2:H2"/>
    <mergeCell ref="B3:H3"/>
    <mergeCell ref="B4:H4"/>
    <mergeCell ref="B16:H16"/>
    <mergeCell ref="C17:D17"/>
    <mergeCell ref="E17:F17"/>
    <mergeCell ref="G17:H17"/>
    <mergeCell ref="C18:D18"/>
    <mergeCell ref="C20:D20"/>
    <mergeCell ref="E20:F20"/>
    <mergeCell ref="C42:D42"/>
    <mergeCell ref="E38:F38"/>
    <mergeCell ref="F50:G50"/>
    <mergeCell ref="F47:G47"/>
    <mergeCell ref="E41:F41"/>
    <mergeCell ref="E42:F42"/>
    <mergeCell ref="E40:F40"/>
    <mergeCell ref="E39:F39"/>
    <mergeCell ref="F46:G46"/>
    <mergeCell ref="F45:G45"/>
    <mergeCell ref="C44:E44"/>
    <mergeCell ref="C46:E46"/>
    <mergeCell ref="C48:E48"/>
    <mergeCell ref="F48:G48"/>
    <mergeCell ref="C50:E50"/>
    <mergeCell ref="F44:G44"/>
    <mergeCell ref="M23:M24"/>
    <mergeCell ref="N23:N24"/>
    <mergeCell ref="G42:H42"/>
    <mergeCell ref="E19:F19"/>
    <mergeCell ref="G19:H19"/>
    <mergeCell ref="G41:H41"/>
    <mergeCell ref="G40:H40"/>
    <mergeCell ref="G39:H39"/>
    <mergeCell ref="F24:G24"/>
    <mergeCell ref="H24:H25"/>
    <mergeCell ref="G38:H38"/>
    <mergeCell ref="B37:H37"/>
    <mergeCell ref="B24:B25"/>
    <mergeCell ref="C24:C25"/>
    <mergeCell ref="D24:D25"/>
    <mergeCell ref="E24:E25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N52"/>
  <sheetViews>
    <sheetView topLeftCell="A13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7109375" style="133" customWidth="1"/>
    <col min="4" max="4" width="9.140625" style="3" customWidth="1"/>
    <col min="5" max="5" width="9.42578125" style="3" customWidth="1"/>
    <col min="6" max="6" width="9.7109375" style="1" customWidth="1"/>
    <col min="7" max="7" width="10.42578125" style="1" customWidth="1"/>
    <col min="8" max="8" width="10.7109375" style="1" customWidth="1"/>
    <col min="9" max="9" width="15.5703125" style="1" customWidth="1"/>
    <col min="10" max="10" width="16" style="1" customWidth="1"/>
    <col min="11" max="12" width="9.140625" style="1"/>
    <col min="13" max="13" width="18" style="188" customWidth="1"/>
    <col min="14" max="14" width="18.28515625" style="188" customWidth="1"/>
    <col min="15" max="16384" width="9.140625" style="1"/>
  </cols>
  <sheetData>
    <row r="1" spans="2:8">
      <c r="B1" s="253" t="s">
        <v>119</v>
      </c>
      <c r="C1" s="253"/>
      <c r="D1" s="253"/>
      <c r="E1" s="253"/>
      <c r="F1" s="253"/>
      <c r="G1" s="253"/>
      <c r="H1" s="253"/>
    </row>
    <row r="2" spans="2:8">
      <c r="B2" s="253" t="s">
        <v>120</v>
      </c>
      <c r="C2" s="253"/>
      <c r="D2" s="253"/>
      <c r="E2" s="253"/>
      <c r="F2" s="253"/>
      <c r="G2" s="253"/>
      <c r="H2" s="253"/>
    </row>
    <row r="3" spans="2:8">
      <c r="B3" s="253" t="s">
        <v>164</v>
      </c>
      <c r="C3" s="253"/>
      <c r="D3" s="253"/>
      <c r="E3" s="253"/>
      <c r="F3" s="253"/>
      <c r="G3" s="253"/>
      <c r="H3" s="253"/>
    </row>
    <row r="4" spans="2:8">
      <c r="B4" s="253" t="s">
        <v>179</v>
      </c>
      <c r="C4" s="253"/>
      <c r="D4" s="253"/>
      <c r="E4" s="253"/>
      <c r="F4" s="253"/>
      <c r="G4" s="253"/>
      <c r="H4" s="253"/>
    </row>
    <row r="5" spans="2:8" ht="23.25" customHeight="1">
      <c r="B5" s="254" t="s">
        <v>180</v>
      </c>
      <c r="C5" s="254"/>
      <c r="D5" s="254"/>
      <c r="E5" s="254"/>
      <c r="F5" s="254"/>
      <c r="G5" s="254"/>
      <c r="H5" s="254"/>
    </row>
    <row r="6" spans="2:8" ht="20.25" customHeight="1">
      <c r="B6" s="254"/>
      <c r="C6" s="254"/>
      <c r="D6" s="254"/>
      <c r="E6" s="254"/>
      <c r="F6" s="254"/>
      <c r="G6" s="254"/>
      <c r="H6" s="254"/>
    </row>
    <row r="7" spans="2:8" ht="8.25" customHeight="1"/>
    <row r="8" spans="2:8">
      <c r="B8" s="169" t="s">
        <v>0</v>
      </c>
      <c r="C8" s="180"/>
      <c r="D8" s="261" t="s">
        <v>51</v>
      </c>
      <c r="E8" s="261"/>
    </row>
    <row r="9" spans="2:8">
      <c r="B9" s="169" t="s">
        <v>1</v>
      </c>
      <c r="C9" s="180"/>
      <c r="D9" s="213">
        <v>1966</v>
      </c>
      <c r="E9" s="213"/>
    </row>
    <row r="10" spans="2:8" hidden="1" outlineLevel="1">
      <c r="B10" s="169" t="s">
        <v>2</v>
      </c>
      <c r="C10" s="180"/>
      <c r="D10" s="213">
        <v>4</v>
      </c>
      <c r="E10" s="213"/>
    </row>
    <row r="11" spans="2:8" hidden="1" outlineLevel="1">
      <c r="B11" s="169" t="s">
        <v>3</v>
      </c>
      <c r="C11" s="180"/>
      <c r="D11" s="213">
        <v>48</v>
      </c>
      <c r="E11" s="213"/>
    </row>
    <row r="12" spans="2:8" ht="30.75" hidden="1" customHeight="1" outlineLevel="1">
      <c r="B12" s="171" t="s">
        <v>4</v>
      </c>
      <c r="C12" s="181"/>
      <c r="D12" s="213" t="s">
        <v>52</v>
      </c>
      <c r="E12" s="213"/>
    </row>
    <row r="13" spans="2:8" collapsed="1">
      <c r="B13" s="169" t="s">
        <v>5</v>
      </c>
      <c r="C13" s="180"/>
      <c r="D13" s="213" t="s">
        <v>113</v>
      </c>
      <c r="E13" s="213"/>
      <c r="H13" s="5"/>
    </row>
    <row r="14" spans="2:8" hidden="1" outlineLevel="1">
      <c r="B14" s="1" t="s">
        <v>6</v>
      </c>
      <c r="D14" s="162" t="s">
        <v>7</v>
      </c>
      <c r="E14" s="162"/>
    </row>
    <row r="15" spans="2:8" ht="30.75" hidden="1" customHeight="1" outlineLevel="1">
      <c r="B15" s="16" t="s">
        <v>8</v>
      </c>
      <c r="C15" s="134"/>
      <c r="D15" s="214" t="s">
        <v>53</v>
      </c>
      <c r="E15" s="162"/>
      <c r="H15" s="5"/>
    </row>
    <row r="16" spans="2:8" ht="16.5" collapsed="1" thickBot="1">
      <c r="B16" s="240" t="s">
        <v>177</v>
      </c>
      <c r="C16" s="240"/>
      <c r="D16" s="240"/>
      <c r="E16" s="240"/>
      <c r="F16" s="240"/>
      <c r="G16" s="240"/>
      <c r="H16" s="240"/>
    </row>
    <row r="17" spans="2:14" ht="45.7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</row>
    <row r="18" spans="2:14">
      <c r="B18" s="156" t="s">
        <v>11</v>
      </c>
      <c r="C18" s="266">
        <v>2931738.7699999996</v>
      </c>
      <c r="D18" s="267"/>
      <c r="E18" s="228">
        <v>2326613.61</v>
      </c>
      <c r="F18" s="229"/>
      <c r="G18" s="228">
        <v>605125.15999999992</v>
      </c>
      <c r="H18" s="244"/>
    </row>
    <row r="19" spans="2:14">
      <c r="B19" s="157" t="s">
        <v>12</v>
      </c>
      <c r="C19" s="230">
        <v>2783887.8099999996</v>
      </c>
      <c r="D19" s="268"/>
      <c r="E19" s="230">
        <v>2208765.3699999996</v>
      </c>
      <c r="F19" s="231"/>
      <c r="G19" s="230">
        <v>575122.43999999994</v>
      </c>
      <c r="H19" s="241"/>
    </row>
    <row r="20" spans="2:14" ht="16.5" thickBot="1">
      <c r="B20" s="158" t="s">
        <v>88</v>
      </c>
      <c r="C20" s="269">
        <v>2845145.0189</v>
      </c>
      <c r="D20" s="270"/>
      <c r="E20" s="232">
        <v>2313612.0189</v>
      </c>
      <c r="F20" s="233"/>
      <c r="G20" s="232">
        <v>531533</v>
      </c>
      <c r="H20" s="242"/>
    </row>
    <row r="21" spans="2:14" ht="28.5" customHeight="1" thickBot="1">
      <c r="B21" s="159" t="s">
        <v>146</v>
      </c>
      <c r="C21" s="234">
        <f>E21+G21</f>
        <v>-61257.208900000434</v>
      </c>
      <c r="D21" s="235"/>
      <c r="E21" s="245">
        <f>E19-E20</f>
        <v>-104846.64890000038</v>
      </c>
      <c r="F21" s="246"/>
      <c r="G21" s="245">
        <f>G19-G20</f>
        <v>43589.439999999944</v>
      </c>
      <c r="H21" s="247"/>
    </row>
    <row r="22" spans="2:14">
      <c r="B22" s="16"/>
      <c r="C22" s="134"/>
      <c r="D22" s="214"/>
      <c r="E22" s="162"/>
      <c r="H22" s="5"/>
    </row>
    <row r="23" spans="2:14" ht="33.7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3.7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37.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252765.67</v>
      </c>
      <c r="N25" s="189">
        <f>M25*1.05</f>
        <v>265403.9535</v>
      </c>
    </row>
    <row r="26" spans="2:14" ht="38.25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25324.34879017013</v>
      </c>
      <c r="G26" s="25">
        <f>$N$25/$N$26*E26</f>
        <v>26590.566229678636</v>
      </c>
      <c r="H26" s="26">
        <f>F26-G26</f>
        <v>-1266.2174395085058</v>
      </c>
      <c r="I26" s="27"/>
      <c r="J26" s="209"/>
      <c r="K26" s="209"/>
      <c r="L26" s="28"/>
      <c r="M26" s="191">
        <f>E35-E33</f>
        <v>10.580000000000002</v>
      </c>
      <c r="N26" s="191">
        <f>E35-E33</f>
        <v>10.580000000000002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2" si="0">$M$25/$M$26*E27</f>
        <v>28430.165151228728</v>
      </c>
      <c r="G27" s="25">
        <f t="shared" ref="G27:G28" si="1">$N$25/$N$26*E27</f>
        <v>29851.673408790164</v>
      </c>
      <c r="H27" s="26">
        <f t="shared" ref="H27:H32" si="2">F27-G27</f>
        <v>-1421.508257561436</v>
      </c>
      <c r="I27" s="32"/>
      <c r="J27" s="2"/>
      <c r="K27" s="2"/>
      <c r="L27" s="2"/>
      <c r="M27" s="192"/>
      <c r="N27" s="192"/>
    </row>
    <row r="28" spans="2:14" ht="27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7645.0864272211711</v>
      </c>
      <c r="G28" s="25">
        <f t="shared" si="1"/>
        <v>8027.3407485822299</v>
      </c>
      <c r="H28" s="26">
        <f t="shared" si="2"/>
        <v>-382.25432136105883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0.26</v>
      </c>
      <c r="F29" s="24">
        <f t="shared" si="0"/>
        <v>6211.6327221172023</v>
      </c>
      <c r="G29" s="25">
        <f t="shared" ref="G29:G31" si="3">$N$25/$N$26*E29</f>
        <v>6522.2143582230619</v>
      </c>
      <c r="H29" s="26">
        <f t="shared" si="2"/>
        <v>-310.58163610585962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28191.256200378069</v>
      </c>
      <c r="G30" s="25">
        <f t="shared" si="3"/>
        <v>29600.819010396972</v>
      </c>
      <c r="H30" s="26">
        <f t="shared" si="2"/>
        <v>-1409.5628100189024</v>
      </c>
      <c r="I30" s="34"/>
    </row>
    <row r="31" spans="2:14" ht="215.2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134027.92142722115</v>
      </c>
      <c r="G31" s="25">
        <f t="shared" si="3"/>
        <v>140729.31749858221</v>
      </c>
      <c r="H31" s="26">
        <f t="shared" si="2"/>
        <v>-6701.3960713610577</v>
      </c>
      <c r="I31" s="32"/>
      <c r="J31" s="2"/>
      <c r="K31" s="2"/>
      <c r="L31" s="4"/>
      <c r="M31" s="192"/>
      <c r="N31" s="192"/>
    </row>
    <row r="32" spans="2:14" ht="105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5733.8148204158779</v>
      </c>
      <c r="G32" s="25">
        <f t="shared" ref="G32" si="4">$N$25/$N$26*E32</f>
        <v>6020.505561436672</v>
      </c>
      <c r="H32" s="26">
        <f t="shared" si="2"/>
        <v>-286.69074102079412</v>
      </c>
      <c r="I32" s="34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3</v>
      </c>
      <c r="F33" s="24">
        <v>71672.69</v>
      </c>
      <c r="G33" s="31">
        <v>58222</v>
      </c>
      <c r="H33" s="26">
        <f>F33-G33</f>
        <v>13450.690000000002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0.72</v>
      </c>
      <c r="F34" s="24">
        <f>$M$25/$M$26*E34</f>
        <v>17201.444461247636</v>
      </c>
      <c r="G34" s="25">
        <f t="shared" ref="G34" si="5">$N$25/$N$26*E34</f>
        <v>18061.516684310016</v>
      </c>
      <c r="H34" s="26">
        <f>F34-G34</f>
        <v>-860.07222306237963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13.580000000000002</v>
      </c>
      <c r="F35" s="43">
        <f>SUM(F26:F34)</f>
        <v>324438.36</v>
      </c>
      <c r="G35" s="44">
        <f>SUM(G26:G34)</f>
        <v>323625.95349999995</v>
      </c>
      <c r="H35" s="45">
        <f>SUM(H26:H34)</f>
        <v>812.40650000000824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52.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66">
        <f>E39+G39</f>
        <v>3256177.13</v>
      </c>
      <c r="D39" s="271"/>
      <c r="E39" s="266">
        <f>F26+F27+F28+F29+F30+F31+F32+F34+E18</f>
        <v>2579379.2799999998</v>
      </c>
      <c r="F39" s="271"/>
      <c r="G39" s="266">
        <f>F33+G18</f>
        <v>676797.84999999986</v>
      </c>
      <c r="H39" s="272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3106766.8499999996</v>
      </c>
      <c r="D40" s="231"/>
      <c r="E40" s="230">
        <f>E19+251550.83</f>
        <v>2460316.1999999997</v>
      </c>
      <c r="F40" s="231"/>
      <c r="G40" s="230">
        <f>G19+71328.21</f>
        <v>646450.64999999991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69">
        <f>E41+G41</f>
        <v>3168770.9723999999</v>
      </c>
      <c r="D41" s="275"/>
      <c r="E41" s="269">
        <f>G26+G27+G28+G29+G30+G31+G32+G34+E20</f>
        <v>2579015.9723999999</v>
      </c>
      <c r="F41" s="275"/>
      <c r="G41" s="269">
        <f>G33+G20</f>
        <v>589755</v>
      </c>
      <c r="H41" s="274"/>
      <c r="I41" s="165"/>
      <c r="J41" s="49"/>
      <c r="K41" s="34"/>
      <c r="L41" s="34"/>
    </row>
    <row r="42" spans="2:14" ht="31.5" customHeight="1" thickBot="1">
      <c r="B42" s="159" t="s">
        <v>147</v>
      </c>
      <c r="C42" s="234">
        <f>E42+G42</f>
        <v>-62004.122400000226</v>
      </c>
      <c r="D42" s="235"/>
      <c r="E42" s="245">
        <f>E40-E41</f>
        <v>-118699.77240000013</v>
      </c>
      <c r="F42" s="246"/>
      <c r="G42" s="245">
        <f>G40-G41</f>
        <v>56695.649999999907</v>
      </c>
      <c r="H42" s="247"/>
      <c r="I42" s="168"/>
      <c r="J42" s="153"/>
      <c r="K42" s="34"/>
      <c r="L42" s="34"/>
    </row>
    <row r="43" spans="2:14" ht="15" customHeight="1">
      <c r="B43" s="79"/>
      <c r="C43" s="151"/>
      <c r="D43" s="151"/>
      <c r="E43" s="153"/>
      <c r="F43" s="153"/>
      <c r="G43" s="153"/>
      <c r="H43" s="153"/>
      <c r="I43" s="53"/>
      <c r="J43" s="2"/>
      <c r="K43" s="2"/>
      <c r="L43" s="2"/>
      <c r="M43" s="192"/>
      <c r="N43" s="192"/>
    </row>
    <row r="44" spans="2:14" ht="14.2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53"/>
      <c r="J44" s="2"/>
      <c r="K44" s="2"/>
      <c r="L44" s="2"/>
      <c r="M44" s="192"/>
      <c r="N44" s="192"/>
    </row>
    <row r="45" spans="2:14" ht="8.2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2.7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8.25" customHeight="1">
      <c r="B47" s="53"/>
      <c r="C47" s="54"/>
      <c r="D47" s="54"/>
      <c r="E47" s="222"/>
      <c r="F47" s="249"/>
      <c r="G47" s="249"/>
      <c r="H47" s="53"/>
      <c r="I47" s="53"/>
    </row>
    <row r="48" spans="2:14" ht="15.7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9" customHeight="1">
      <c r="B49" s="55"/>
      <c r="C49" s="56"/>
      <c r="D49" s="56"/>
      <c r="E49" s="222"/>
      <c r="F49" s="203"/>
      <c r="G49" s="55"/>
      <c r="H49" s="57"/>
      <c r="I49" s="53"/>
    </row>
    <row r="50" spans="2:9" ht="14.2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</row>
    <row r="51" spans="2:9">
      <c r="B51" s="9"/>
      <c r="C51" s="142"/>
      <c r="D51" s="71"/>
      <c r="E51" s="71"/>
      <c r="F51" s="9"/>
      <c r="G51" s="9"/>
    </row>
    <row r="52" spans="2:9">
      <c r="B52" s="9"/>
      <c r="C52" s="142"/>
      <c r="D52" s="71"/>
      <c r="E52" s="71"/>
      <c r="F52" s="9"/>
      <c r="G52" s="9"/>
    </row>
  </sheetData>
  <mergeCells count="57">
    <mergeCell ref="B1:H1"/>
    <mergeCell ref="B5:H6"/>
    <mergeCell ref="D8:E8"/>
    <mergeCell ref="F44:G44"/>
    <mergeCell ref="E41:F41"/>
    <mergeCell ref="E40:F40"/>
    <mergeCell ref="G40:H40"/>
    <mergeCell ref="G38:H38"/>
    <mergeCell ref="B23:H23"/>
    <mergeCell ref="B24:B25"/>
    <mergeCell ref="C24:C25"/>
    <mergeCell ref="D24:D25"/>
    <mergeCell ref="G42:H42"/>
    <mergeCell ref="E42:F42"/>
    <mergeCell ref="E24:E25"/>
    <mergeCell ref="B2:H2"/>
    <mergeCell ref="B3:H3"/>
    <mergeCell ref="B4:H4"/>
    <mergeCell ref="E39:F39"/>
    <mergeCell ref="E38:F38"/>
    <mergeCell ref="H24:H25"/>
    <mergeCell ref="G39:H39"/>
    <mergeCell ref="B37:H37"/>
    <mergeCell ref="C19:D19"/>
    <mergeCell ref="E19:F19"/>
    <mergeCell ref="G19:H19"/>
    <mergeCell ref="C20:D20"/>
    <mergeCell ref="E20:F20"/>
    <mergeCell ref="G20:H20"/>
    <mergeCell ref="C21:D21"/>
    <mergeCell ref="G21:H21"/>
    <mergeCell ref="E21:F21"/>
    <mergeCell ref="B16:H16"/>
    <mergeCell ref="C17:D17"/>
    <mergeCell ref="E17:F17"/>
    <mergeCell ref="G17:H17"/>
    <mergeCell ref="C18:D18"/>
    <mergeCell ref="E18:F18"/>
    <mergeCell ref="G18:H18"/>
    <mergeCell ref="M23:M24"/>
    <mergeCell ref="N23:N24"/>
    <mergeCell ref="C38:D38"/>
    <mergeCell ref="C39:D39"/>
    <mergeCell ref="C40:D40"/>
    <mergeCell ref="F24:G24"/>
    <mergeCell ref="C50:E50"/>
    <mergeCell ref="F50:G50"/>
    <mergeCell ref="C41:D41"/>
    <mergeCell ref="C42:D42"/>
    <mergeCell ref="C44:E44"/>
    <mergeCell ref="C46:E46"/>
    <mergeCell ref="C48:E48"/>
    <mergeCell ref="F45:G45"/>
    <mergeCell ref="G41:H41"/>
    <mergeCell ref="F46:G46"/>
    <mergeCell ref="F47:G47"/>
    <mergeCell ref="F48:G48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N51"/>
  <sheetViews>
    <sheetView topLeftCell="A33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85546875" style="3" customWidth="1"/>
    <col min="4" max="4" width="8.42578125" style="3" customWidth="1"/>
    <col min="5" max="5" width="9.5703125" style="3" customWidth="1"/>
    <col min="6" max="6" width="10.42578125" style="1" customWidth="1"/>
    <col min="7" max="7" width="10.28515625" style="1" customWidth="1"/>
    <col min="8" max="8" width="10.5703125" style="1" customWidth="1"/>
    <col min="9" max="9" width="15.7109375" style="1" customWidth="1"/>
    <col min="10" max="10" width="16.28515625" style="1" customWidth="1"/>
    <col min="11" max="12" width="9.140625" style="1"/>
    <col min="13" max="13" width="18.140625" style="188" customWidth="1"/>
    <col min="14" max="14" width="21.140625" style="188" customWidth="1"/>
    <col min="15" max="16384" width="9.140625" style="1"/>
  </cols>
  <sheetData>
    <row r="1" spans="2:9">
      <c r="B1" s="253" t="s">
        <v>119</v>
      </c>
      <c r="C1" s="253"/>
      <c r="D1" s="253"/>
      <c r="E1" s="253"/>
      <c r="F1" s="253"/>
      <c r="G1" s="253"/>
      <c r="H1" s="253"/>
    </row>
    <row r="2" spans="2:9">
      <c r="B2" s="253" t="s">
        <v>120</v>
      </c>
      <c r="C2" s="253"/>
      <c r="D2" s="253"/>
      <c r="E2" s="253"/>
      <c r="F2" s="253"/>
      <c r="G2" s="253"/>
      <c r="H2" s="253"/>
    </row>
    <row r="3" spans="2:9">
      <c r="B3" s="253" t="s">
        <v>165</v>
      </c>
      <c r="C3" s="253"/>
      <c r="D3" s="253"/>
      <c r="E3" s="253"/>
      <c r="F3" s="253"/>
      <c r="G3" s="253"/>
      <c r="H3" s="253"/>
    </row>
    <row r="4" spans="2:9">
      <c r="B4" s="253" t="s">
        <v>179</v>
      </c>
      <c r="C4" s="253"/>
      <c r="D4" s="253"/>
      <c r="E4" s="253"/>
      <c r="F4" s="253"/>
      <c r="G4" s="253"/>
      <c r="H4" s="253"/>
    </row>
    <row r="5" spans="2:9" ht="19.5" customHeight="1">
      <c r="B5" s="254" t="s">
        <v>180</v>
      </c>
      <c r="C5" s="254"/>
      <c r="D5" s="254"/>
      <c r="E5" s="254"/>
      <c r="F5" s="254"/>
      <c r="G5" s="254"/>
      <c r="H5" s="254"/>
    </row>
    <row r="6" spans="2:9" ht="20.25" customHeight="1">
      <c r="B6" s="254"/>
      <c r="C6" s="254"/>
      <c r="D6" s="254"/>
      <c r="E6" s="254"/>
      <c r="F6" s="254"/>
      <c r="G6" s="254"/>
      <c r="H6" s="254"/>
    </row>
    <row r="7" spans="2:9" ht="8.25" customHeight="1"/>
    <row r="8" spans="2:9">
      <c r="B8" s="169" t="s">
        <v>0</v>
      </c>
      <c r="C8" s="178"/>
      <c r="D8" s="261" t="s">
        <v>54</v>
      </c>
      <c r="E8" s="261"/>
      <c r="F8" s="169"/>
    </row>
    <row r="9" spans="2:9">
      <c r="B9" s="169" t="s">
        <v>1</v>
      </c>
      <c r="C9" s="178"/>
      <c r="D9" s="213">
        <v>1968</v>
      </c>
      <c r="E9" s="213"/>
      <c r="F9" s="169"/>
    </row>
    <row r="10" spans="2:9" hidden="1" outlineLevel="1">
      <c r="B10" s="169" t="s">
        <v>2</v>
      </c>
      <c r="C10" s="178"/>
      <c r="D10" s="213">
        <v>4</v>
      </c>
      <c r="E10" s="213"/>
      <c r="F10" s="169"/>
    </row>
    <row r="11" spans="2:9" hidden="1" outlineLevel="1">
      <c r="B11" s="169" t="s">
        <v>3</v>
      </c>
      <c r="C11" s="178"/>
      <c r="D11" s="213">
        <v>32</v>
      </c>
      <c r="E11" s="213"/>
      <c r="F11" s="169"/>
    </row>
    <row r="12" spans="2:9" ht="30.75" hidden="1" customHeight="1" outlineLevel="1">
      <c r="B12" s="171" t="s">
        <v>4</v>
      </c>
      <c r="C12" s="179"/>
      <c r="D12" s="213" t="s">
        <v>55</v>
      </c>
      <c r="E12" s="213"/>
      <c r="F12" s="169"/>
    </row>
    <row r="13" spans="2:9" collapsed="1">
      <c r="B13" s="169" t="s">
        <v>5</v>
      </c>
      <c r="C13" s="178"/>
      <c r="D13" s="213" t="s">
        <v>126</v>
      </c>
      <c r="E13" s="213"/>
      <c r="F13" s="169"/>
      <c r="I13" s="5"/>
    </row>
    <row r="14" spans="2:9" hidden="1" outlineLevel="1">
      <c r="B14" s="1" t="s">
        <v>6</v>
      </c>
      <c r="D14" s="162" t="s">
        <v>7</v>
      </c>
      <c r="E14" s="162"/>
    </row>
    <row r="15" spans="2:9" ht="30.75" hidden="1" customHeight="1" outlineLevel="1">
      <c r="B15" s="16" t="s">
        <v>8</v>
      </c>
      <c r="C15" s="74"/>
      <c r="D15" s="214" t="s">
        <v>56</v>
      </c>
      <c r="E15" s="162"/>
      <c r="I15" s="5"/>
    </row>
    <row r="16" spans="2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2400249.8999999994</v>
      </c>
      <c r="D18" s="267"/>
      <c r="E18" s="228">
        <v>1650555.4399999997</v>
      </c>
      <c r="F18" s="229"/>
      <c r="G18" s="228">
        <v>749694.46</v>
      </c>
      <c r="H18" s="244"/>
      <c r="I18" s="5"/>
    </row>
    <row r="19" spans="2:14">
      <c r="B19" s="157" t="s">
        <v>12</v>
      </c>
      <c r="C19" s="230">
        <v>2255926.8200000003</v>
      </c>
      <c r="D19" s="268"/>
      <c r="E19" s="230">
        <v>1550932.9300000002</v>
      </c>
      <c r="F19" s="231"/>
      <c r="G19" s="230">
        <v>704993.89</v>
      </c>
      <c r="H19" s="241"/>
      <c r="I19" s="5"/>
    </row>
    <row r="20" spans="2:14" ht="16.5" thickBot="1">
      <c r="B20" s="158" t="s">
        <v>88</v>
      </c>
      <c r="C20" s="269">
        <v>2339050.3022999996</v>
      </c>
      <c r="D20" s="270"/>
      <c r="E20" s="232">
        <v>1705071.3022999996</v>
      </c>
      <c r="F20" s="233"/>
      <c r="G20" s="232">
        <v>633979</v>
      </c>
      <c r="H20" s="242"/>
      <c r="I20" s="5"/>
    </row>
    <row r="21" spans="2:14" ht="27" customHeight="1" thickBot="1">
      <c r="B21" s="159" t="s">
        <v>146</v>
      </c>
      <c r="C21" s="234">
        <f>E21+G21</f>
        <v>-83123.48229999945</v>
      </c>
      <c r="D21" s="235"/>
      <c r="E21" s="245">
        <f>E19-E20</f>
        <v>-154138.37229999946</v>
      </c>
      <c r="F21" s="246"/>
      <c r="G21" s="245">
        <f>G19-G20</f>
        <v>71014.890000000014</v>
      </c>
      <c r="H21" s="247"/>
      <c r="I21" s="5"/>
    </row>
    <row r="22" spans="2:14">
      <c r="B22" s="16"/>
      <c r="C22" s="74"/>
      <c r="D22" s="214"/>
      <c r="E22" s="162"/>
      <c r="I22" s="5"/>
    </row>
    <row r="23" spans="2:14" ht="31.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3.7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44.2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169792.08465993268</v>
      </c>
      <c r="N25" s="189">
        <f>M25*1.05</f>
        <v>178281.68889292932</v>
      </c>
    </row>
    <row r="26" spans="2:14" ht="43.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18216.559690235688</v>
      </c>
      <c r="G26" s="25">
        <f>$N$25/$N$26*E26</f>
        <v>19127.387674747475</v>
      </c>
      <c r="H26" s="26">
        <f>F26-G26</f>
        <v>-910.82798451178678</v>
      </c>
      <c r="I26" s="27"/>
      <c r="J26" s="209"/>
      <c r="K26" s="209"/>
      <c r="L26" s="28"/>
      <c r="M26" s="191">
        <f>E35-E33</f>
        <v>9.8800000000000026</v>
      </c>
      <c r="N26" s="191">
        <f>E35-E33</f>
        <v>9.8800000000000026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20450.666067340066</v>
      </c>
      <c r="G27" s="25">
        <f t="shared" ref="G27:G28" si="1">$N$25/$N$26*E27</f>
        <v>21473.199370707069</v>
      </c>
      <c r="H27" s="26">
        <f t="shared" ref="H27:H32" si="2">F27-G27</f>
        <v>-1022.5333033670031</v>
      </c>
      <c r="I27" s="32"/>
      <c r="J27" s="2"/>
      <c r="K27" s="2"/>
      <c r="L27" s="2"/>
      <c r="M27" s="192"/>
      <c r="N27" s="192"/>
    </row>
    <row r="28" spans="2:14" ht="36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5499.338774410774</v>
      </c>
      <c r="G28" s="25">
        <f t="shared" si="1"/>
        <v>5774.3057131313126</v>
      </c>
      <c r="H28" s="26">
        <f t="shared" si="2"/>
        <v>-274.96693872053856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0.22</v>
      </c>
      <c r="F29" s="24">
        <f t="shared" si="0"/>
        <v>3780.7954074074069</v>
      </c>
      <c r="G29" s="25">
        <f t="shared" ref="G29:G31" si="3">$N$25/$N$26*E29</f>
        <v>3969.8351777777775</v>
      </c>
      <c r="H29" s="26">
        <f t="shared" si="2"/>
        <v>-189.03977037037066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20278.811730639729</v>
      </c>
      <c r="G30" s="25">
        <f t="shared" si="3"/>
        <v>21292.752317171715</v>
      </c>
      <c r="H30" s="26">
        <f t="shared" si="2"/>
        <v>-1013.9405865319859</v>
      </c>
      <c r="I30" s="34"/>
    </row>
    <row r="31" spans="2:14" ht="219" customHeight="1">
      <c r="B31" s="29" t="s">
        <v>121</v>
      </c>
      <c r="C31" s="21" t="s">
        <v>100</v>
      </c>
      <c r="D31" s="22" t="s">
        <v>98</v>
      </c>
      <c r="E31" s="30">
        <v>5.53</v>
      </c>
      <c r="F31" s="24">
        <f t="shared" si="0"/>
        <v>95035.448195286182</v>
      </c>
      <c r="G31" s="25">
        <f t="shared" si="3"/>
        <v>99787.220605050505</v>
      </c>
      <c r="H31" s="26">
        <f t="shared" si="2"/>
        <v>-4751.7724097643222</v>
      </c>
      <c r="I31" s="32"/>
      <c r="J31" s="2"/>
      <c r="K31" s="2"/>
      <c r="L31" s="4"/>
      <c r="M31" s="192"/>
      <c r="N31" s="192"/>
    </row>
    <row r="32" spans="2:14" ht="108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4124.5040808080803</v>
      </c>
      <c r="G32" s="25">
        <f t="shared" ref="G32" si="4">$N$25/$N$26*E32</f>
        <v>4330.729284848484</v>
      </c>
      <c r="H32" s="26">
        <f t="shared" si="2"/>
        <v>-206.2252040404037</v>
      </c>
      <c r="I32" s="34"/>
    </row>
    <row r="33" spans="2:14" ht="27" customHeight="1">
      <c r="B33" s="33" t="s">
        <v>91</v>
      </c>
      <c r="C33" s="21" t="s">
        <v>97</v>
      </c>
      <c r="D33" s="22" t="s">
        <v>98</v>
      </c>
      <c r="E33" s="30">
        <v>4.97</v>
      </c>
      <c r="F33" s="24">
        <v>85411.605340067341</v>
      </c>
      <c r="G33" s="31">
        <v>96986</v>
      </c>
      <c r="H33" s="26">
        <f>F33-G33</f>
        <v>-11574.394659932659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0.14000000000000001</v>
      </c>
      <c r="F34" s="24">
        <f t="shared" si="0"/>
        <v>2405.9607138047136</v>
      </c>
      <c r="G34" s="25">
        <f t="shared" ref="G34" si="5">$N$25/$N$26*E34</f>
        <v>2526.2587494949494</v>
      </c>
      <c r="H34" s="26">
        <f>F34-G34</f>
        <v>-120.29803569023579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14.850000000000001</v>
      </c>
      <c r="F35" s="43">
        <f>SUM(F26:F34)</f>
        <v>255203.69</v>
      </c>
      <c r="G35" s="44">
        <f>SUM(G26:G34)</f>
        <v>275267.68889292929</v>
      </c>
      <c r="H35" s="45">
        <f>SUM(H26:H34)</f>
        <v>-20063.998892929307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53.2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75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2655453.59</v>
      </c>
      <c r="D39" s="229"/>
      <c r="E39" s="228">
        <f>F26+F27+F28+F29+F30+F31+F32+F34+E18</f>
        <v>1820347.5246599324</v>
      </c>
      <c r="F39" s="229"/>
      <c r="G39" s="228">
        <f>F33+G18</f>
        <v>835106.06534006726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2500874.38</v>
      </c>
      <c r="D40" s="231"/>
      <c r="E40" s="230">
        <f>E19+162968.45</f>
        <v>1713901.3800000001</v>
      </c>
      <c r="F40" s="231"/>
      <c r="G40" s="230">
        <f>G19+81979.07+0.04</f>
        <v>786973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2614317.991192929</v>
      </c>
      <c r="D41" s="233"/>
      <c r="E41" s="232">
        <f>G26+G27+G28+G29+G30+G31+G32+G34+E20</f>
        <v>1883352.991192929</v>
      </c>
      <c r="F41" s="233"/>
      <c r="G41" s="232">
        <f>G33+G20</f>
        <v>730965</v>
      </c>
      <c r="H41" s="242"/>
      <c r="I41" s="165"/>
      <c r="J41" s="49"/>
      <c r="K41" s="34"/>
      <c r="L41" s="34"/>
    </row>
    <row r="42" spans="2:14" ht="27.75" customHeight="1" thickBot="1">
      <c r="B42" s="159" t="s">
        <v>147</v>
      </c>
      <c r="C42" s="234">
        <f>E42+G42</f>
        <v>-113443.61119292886</v>
      </c>
      <c r="D42" s="235"/>
      <c r="E42" s="245">
        <f>E40-E41</f>
        <v>-169451.61119292886</v>
      </c>
      <c r="F42" s="246"/>
      <c r="G42" s="245">
        <f>G40-G41</f>
        <v>56008</v>
      </c>
      <c r="H42" s="247"/>
      <c r="I42" s="168"/>
      <c r="J42" s="153"/>
      <c r="K42" s="34"/>
      <c r="L42" s="34"/>
    </row>
    <row r="43" spans="2:14" ht="12" customHeight="1">
      <c r="B43" s="79"/>
      <c r="C43" s="151"/>
      <c r="D43" s="151"/>
      <c r="E43" s="153"/>
      <c r="F43" s="153"/>
      <c r="G43" s="153"/>
      <c r="H43" s="153"/>
      <c r="I43" s="176"/>
      <c r="J43" s="32"/>
      <c r="K43" s="2"/>
      <c r="L43" s="2"/>
      <c r="M43" s="192"/>
      <c r="N43" s="192"/>
    </row>
    <row r="44" spans="2:14" ht="15.7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176"/>
      <c r="J44" s="32"/>
      <c r="K44" s="2"/>
      <c r="L44" s="2"/>
      <c r="M44" s="192"/>
      <c r="N44" s="192"/>
    </row>
    <row r="45" spans="2:14" ht="8.2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5.7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8.25" customHeight="1">
      <c r="B47" s="53"/>
      <c r="C47" s="54"/>
      <c r="D47" s="54"/>
      <c r="E47" s="222"/>
      <c r="F47" s="249"/>
      <c r="G47" s="249"/>
      <c r="H47" s="53"/>
      <c r="I47" s="53"/>
    </row>
    <row r="48" spans="2:14" ht="18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10.5" customHeight="1">
      <c r="B49" s="55"/>
      <c r="C49" s="56"/>
      <c r="D49" s="56"/>
      <c r="E49" s="222"/>
      <c r="F49" s="203"/>
      <c r="G49" s="55"/>
      <c r="H49" s="57"/>
      <c r="I49" s="53"/>
    </row>
    <row r="50" spans="2:9" ht="14.2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</row>
    <row r="51" spans="2:9">
      <c r="E51" s="210"/>
    </row>
  </sheetData>
  <mergeCells count="57">
    <mergeCell ref="C41:D41"/>
    <mergeCell ref="B1:H1"/>
    <mergeCell ref="B5:H6"/>
    <mergeCell ref="D8:E8"/>
    <mergeCell ref="B23:H23"/>
    <mergeCell ref="B24:B25"/>
    <mergeCell ref="C24:C25"/>
    <mergeCell ref="D24:D25"/>
    <mergeCell ref="E24:E25"/>
    <mergeCell ref="F24:G24"/>
    <mergeCell ref="B2:H2"/>
    <mergeCell ref="B3:H3"/>
    <mergeCell ref="B4:H4"/>
    <mergeCell ref="H24:H25"/>
    <mergeCell ref="B37:H37"/>
    <mergeCell ref="G38:H38"/>
    <mergeCell ref="C38:D38"/>
    <mergeCell ref="C39:D39"/>
    <mergeCell ref="C40:D40"/>
    <mergeCell ref="E39:F39"/>
    <mergeCell ref="E38:F38"/>
    <mergeCell ref="G39:H39"/>
    <mergeCell ref="E40:F40"/>
    <mergeCell ref="E41:F41"/>
    <mergeCell ref="F44:G44"/>
    <mergeCell ref="G40:H40"/>
    <mergeCell ref="G41:H41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50:E50"/>
    <mergeCell ref="F50:G50"/>
    <mergeCell ref="C42:D42"/>
    <mergeCell ref="C44:E44"/>
    <mergeCell ref="C46:E46"/>
    <mergeCell ref="C48:E48"/>
    <mergeCell ref="F48:G48"/>
    <mergeCell ref="F46:G46"/>
    <mergeCell ref="F47:G47"/>
    <mergeCell ref="E42:F42"/>
    <mergeCell ref="F45:G45"/>
    <mergeCell ref="G42:H42"/>
  </mergeCells>
  <printOptions horizontalCentered="1"/>
  <pageMargins left="0.19685039370078741" right="0.19685039370078741" top="0.15748031496062992" bottom="0.24" header="0.16" footer="0.24"/>
  <pageSetup paperSize="9" scale="4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1"/>
  <sheetViews>
    <sheetView topLeftCell="A9" zoomScale="110" zoomScaleNormal="110" workbookViewId="0">
      <selection activeCell="B1" sqref="B1:H51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6.7109375" style="15" customWidth="1"/>
    <col min="4" max="4" width="8.85546875" style="3" customWidth="1"/>
    <col min="5" max="5" width="9.5703125" style="3" customWidth="1"/>
    <col min="6" max="6" width="10.140625" style="1" customWidth="1"/>
    <col min="7" max="7" width="10.42578125" style="1" customWidth="1"/>
    <col min="8" max="8" width="11" style="1" customWidth="1"/>
    <col min="9" max="9" width="15.85546875" style="1" customWidth="1"/>
    <col min="10" max="10" width="15.5703125" style="1" customWidth="1"/>
    <col min="11" max="11" width="9.140625" style="1"/>
    <col min="12" max="12" width="11.28515625" style="1" customWidth="1"/>
    <col min="13" max="13" width="17.140625" style="188" customWidth="1"/>
    <col min="14" max="14" width="16.140625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166</v>
      </c>
      <c r="C3" s="253"/>
      <c r="D3" s="253"/>
      <c r="E3" s="253"/>
      <c r="F3" s="253"/>
      <c r="G3" s="253"/>
      <c r="H3" s="253"/>
    </row>
    <row r="4" spans="1:9" ht="15" customHeight="1">
      <c r="B4" s="253" t="s">
        <v>179</v>
      </c>
      <c r="C4" s="253"/>
      <c r="D4" s="253"/>
      <c r="E4" s="253"/>
      <c r="F4" s="253"/>
      <c r="G4" s="253"/>
      <c r="H4" s="253"/>
    </row>
    <row r="5" spans="1:9" ht="19.5" customHeight="1">
      <c r="A5" s="143"/>
      <c r="B5" s="254" t="s">
        <v>180</v>
      </c>
      <c r="C5" s="254"/>
      <c r="D5" s="254"/>
      <c r="E5" s="254"/>
      <c r="F5" s="254"/>
      <c r="G5" s="254"/>
      <c r="H5" s="254"/>
    </row>
    <row r="6" spans="1:9" ht="20.25" customHeight="1">
      <c r="A6" s="143"/>
      <c r="B6" s="254"/>
      <c r="C6" s="254"/>
      <c r="D6" s="254"/>
      <c r="E6" s="254"/>
      <c r="F6" s="254"/>
      <c r="G6" s="254"/>
      <c r="H6" s="254"/>
    </row>
    <row r="7" spans="1:9" ht="8.25" customHeight="1"/>
    <row r="8" spans="1:9">
      <c r="B8" s="169" t="s">
        <v>0</v>
      </c>
      <c r="C8" s="170"/>
      <c r="D8" s="261" t="s">
        <v>57</v>
      </c>
      <c r="E8" s="261"/>
    </row>
    <row r="9" spans="1:9">
      <c r="B9" s="169" t="s">
        <v>1</v>
      </c>
      <c r="C9" s="170"/>
      <c r="D9" s="213">
        <v>1968</v>
      </c>
      <c r="E9" s="213"/>
    </row>
    <row r="10" spans="1:9" hidden="1" outlineLevel="1">
      <c r="B10" s="169" t="s">
        <v>2</v>
      </c>
      <c r="C10" s="170"/>
      <c r="D10" s="213">
        <v>4</v>
      </c>
      <c r="E10" s="213"/>
    </row>
    <row r="11" spans="1:9" hidden="1" outlineLevel="1">
      <c r="B11" s="169" t="s">
        <v>3</v>
      </c>
      <c r="C11" s="170"/>
      <c r="D11" s="213">
        <v>32</v>
      </c>
      <c r="E11" s="213"/>
    </row>
    <row r="12" spans="1:9" ht="30.75" hidden="1" customHeight="1" outlineLevel="1">
      <c r="B12" s="171" t="s">
        <v>4</v>
      </c>
      <c r="C12" s="172"/>
      <c r="D12" s="213" t="s">
        <v>58</v>
      </c>
      <c r="E12" s="213"/>
    </row>
    <row r="13" spans="1:9" collapsed="1">
      <c r="B13" s="169" t="s">
        <v>5</v>
      </c>
      <c r="C13" s="170"/>
      <c r="D13" s="213" t="s">
        <v>114</v>
      </c>
      <c r="E13" s="213"/>
      <c r="I13" s="5"/>
    </row>
    <row r="14" spans="1:9">
      <c r="B14" s="169" t="s">
        <v>6</v>
      </c>
      <c r="C14" s="170"/>
      <c r="D14" s="213" t="s">
        <v>59</v>
      </c>
      <c r="E14" s="213"/>
    </row>
    <row r="15" spans="1:9" ht="30.75" hidden="1" customHeight="1" outlineLevel="1">
      <c r="B15" s="16" t="s">
        <v>8</v>
      </c>
      <c r="C15" s="17"/>
      <c r="D15" s="214" t="s">
        <v>60</v>
      </c>
      <c r="E15" s="162"/>
      <c r="I15" s="5"/>
    </row>
    <row r="16" spans="1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1855507.8502124045</v>
      </c>
      <c r="D18" s="267"/>
      <c r="E18" s="228">
        <v>1526960.8302124045</v>
      </c>
      <c r="F18" s="229"/>
      <c r="G18" s="228">
        <v>328547.02</v>
      </c>
      <c r="H18" s="244"/>
      <c r="I18" s="5"/>
    </row>
    <row r="19" spans="2:14">
      <c r="B19" s="157" t="s">
        <v>12</v>
      </c>
      <c r="C19" s="230">
        <v>1667024.3478419711</v>
      </c>
      <c r="D19" s="268"/>
      <c r="E19" s="230">
        <v>1371558.997841971</v>
      </c>
      <c r="F19" s="231"/>
      <c r="G19" s="230">
        <v>295465.35000000003</v>
      </c>
      <c r="H19" s="241"/>
      <c r="I19" s="5"/>
    </row>
    <row r="20" spans="2:14" ht="16.5" thickBot="1">
      <c r="B20" s="158" t="s">
        <v>88</v>
      </c>
      <c r="C20" s="269">
        <v>1929510.1103999997</v>
      </c>
      <c r="D20" s="270"/>
      <c r="E20" s="232">
        <v>1538758.1103999997</v>
      </c>
      <c r="F20" s="233"/>
      <c r="G20" s="232">
        <v>390752</v>
      </c>
      <c r="H20" s="242"/>
      <c r="I20" s="5"/>
    </row>
    <row r="21" spans="2:14" ht="30.75" customHeight="1" thickBot="1">
      <c r="B21" s="159" t="s">
        <v>146</v>
      </c>
      <c r="C21" s="234">
        <f>E21+G21</f>
        <v>-262485.76255802863</v>
      </c>
      <c r="D21" s="235"/>
      <c r="E21" s="245">
        <f>E19-E20</f>
        <v>-167199.11255802866</v>
      </c>
      <c r="F21" s="246"/>
      <c r="G21" s="245">
        <f>G19-G20</f>
        <v>-95286.649999999965</v>
      </c>
      <c r="H21" s="247"/>
      <c r="I21" s="5"/>
    </row>
    <row r="22" spans="2:14">
      <c r="B22" s="16"/>
      <c r="C22" s="17"/>
      <c r="D22" s="214"/>
      <c r="E22" s="162"/>
      <c r="I22" s="5"/>
    </row>
    <row r="23" spans="2:14" ht="33.7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3.7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37.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91">
        <v>198413.5</v>
      </c>
      <c r="N25" s="189">
        <f>M25*1.05</f>
        <v>208334.17500000002</v>
      </c>
    </row>
    <row r="26" spans="2:14" ht="43.5" customHeight="1">
      <c r="B26" s="20" t="s">
        <v>86</v>
      </c>
      <c r="C26" s="21" t="s">
        <v>97</v>
      </c>
      <c r="D26" s="22" t="s">
        <v>98</v>
      </c>
      <c r="E26" s="23">
        <v>1.21</v>
      </c>
      <c r="F26" s="24">
        <f>$M$25/$M$26*E26</f>
        <v>22086.507359705611</v>
      </c>
      <c r="G26" s="25">
        <f>$N$25/$N$26*E26</f>
        <v>23190.832727690893</v>
      </c>
      <c r="H26" s="26">
        <f>F26-G26</f>
        <v>-1104.3253679852824</v>
      </c>
      <c r="I26" s="27"/>
      <c r="J26" s="209"/>
      <c r="K26" s="209"/>
      <c r="L26" s="28"/>
      <c r="M26" s="191">
        <f>E36-E33</f>
        <v>10.87</v>
      </c>
      <c r="N26" s="191">
        <f>E36-E33</f>
        <v>10.87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1.35</v>
      </c>
      <c r="F27" s="24">
        <f t="shared" ref="F27:F34" si="0">$M$25/$M$26*E27</f>
        <v>24641.971021159155</v>
      </c>
      <c r="G27" s="25">
        <f t="shared" ref="G27:G31" si="1">$N$25/$N$26*E27</f>
        <v>25874.069572217115</v>
      </c>
      <c r="H27" s="26">
        <f t="shared" ref="H27:H32" si="2">F27-G27</f>
        <v>-1232.0985510579594</v>
      </c>
      <c r="I27" s="32"/>
      <c r="J27" s="2"/>
      <c r="K27" s="2"/>
      <c r="L27" s="6" t="s">
        <v>133</v>
      </c>
      <c r="M27" s="194">
        <f>M28/11.77*M26</f>
        <v>0</v>
      </c>
      <c r="N27" s="194">
        <f>N28/11.77*N26</f>
        <v>0</v>
      </c>
    </row>
    <row r="28" spans="2:14" ht="31.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5841.0597976080962</v>
      </c>
      <c r="G28" s="25">
        <f t="shared" si="1"/>
        <v>6133.1127874885015</v>
      </c>
      <c r="H28" s="26">
        <f t="shared" si="2"/>
        <v>-292.05298988040522</v>
      </c>
      <c r="I28" s="34"/>
      <c r="L28" s="6" t="s">
        <v>131</v>
      </c>
      <c r="M28" s="195"/>
      <c r="N28" s="195"/>
    </row>
    <row r="29" spans="2:14" ht="25.5">
      <c r="B29" s="33" t="s">
        <v>84</v>
      </c>
      <c r="C29" s="35" t="s">
        <v>99</v>
      </c>
      <c r="D29" s="22" t="s">
        <v>98</v>
      </c>
      <c r="E29" s="30">
        <v>0.17</v>
      </c>
      <c r="F29" s="24">
        <f t="shared" si="0"/>
        <v>3103.0630174793009</v>
      </c>
      <c r="G29" s="25">
        <f t="shared" si="1"/>
        <v>3258.2161683532663</v>
      </c>
      <c r="H29" s="26">
        <f t="shared" si="2"/>
        <v>-155.15315087396539</v>
      </c>
      <c r="I29" s="34"/>
      <c r="L29" s="7" t="s">
        <v>134</v>
      </c>
      <c r="M29" s="194">
        <f>M28/11.77*E33</f>
        <v>0</v>
      </c>
      <c r="N29" s="194">
        <f>N28/11.77*E33</f>
        <v>0</v>
      </c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21538.908003679851</v>
      </c>
      <c r="G30" s="25">
        <f t="shared" si="1"/>
        <v>22615.853403863846</v>
      </c>
      <c r="H30" s="26">
        <f t="shared" si="2"/>
        <v>-1076.9454001839949</v>
      </c>
      <c r="I30" s="34"/>
    </row>
    <row r="31" spans="2:14" ht="218.2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102401.07957681693</v>
      </c>
      <c r="G31" s="25">
        <f t="shared" si="1"/>
        <v>107521.13355565778</v>
      </c>
      <c r="H31" s="26">
        <f t="shared" si="2"/>
        <v>-5120.0539788408496</v>
      </c>
      <c r="I31" s="32"/>
      <c r="J31" s="2"/>
      <c r="K31" s="2"/>
      <c r="L31" s="4"/>
      <c r="M31" s="192"/>
      <c r="N31" s="192"/>
    </row>
    <row r="32" spans="2:14" ht="116.2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4380.7948482060719</v>
      </c>
      <c r="G32" s="25">
        <f t="shared" ref="G32:G34" si="3">$N$25/$N$26*E32</f>
        <v>4599.8345906163759</v>
      </c>
      <c r="H32" s="26">
        <f t="shared" si="2"/>
        <v>-219.03974241030392</v>
      </c>
      <c r="I32" s="34"/>
    </row>
    <row r="33" spans="2:14" ht="31.5" customHeight="1">
      <c r="B33" s="33" t="s">
        <v>91</v>
      </c>
      <c r="C33" s="21" t="s">
        <v>97</v>
      </c>
      <c r="D33" s="22" t="s">
        <v>98</v>
      </c>
      <c r="E33" s="30">
        <v>4</v>
      </c>
      <c r="F33" s="24">
        <v>52938.5</v>
      </c>
      <c r="G33" s="31">
        <v>135739</v>
      </c>
      <c r="H33" s="26">
        <f>F33-G33</f>
        <v>-82800.5</v>
      </c>
      <c r="I33" s="34"/>
      <c r="L33" s="5"/>
    </row>
    <row r="34" spans="2:14">
      <c r="B34" s="33" t="s">
        <v>92</v>
      </c>
      <c r="C34" s="35" t="s">
        <v>99</v>
      </c>
      <c r="D34" s="22" t="s">
        <v>98</v>
      </c>
      <c r="E34" s="30">
        <v>0.62</v>
      </c>
      <c r="F34" s="24">
        <f t="shared" si="0"/>
        <v>11317.053357865685</v>
      </c>
      <c r="G34" s="25">
        <f t="shared" si="3"/>
        <v>11882.90602575897</v>
      </c>
      <c r="H34" s="155">
        <f>F34-G34</f>
        <v>-565.85266789328489</v>
      </c>
      <c r="I34" s="34"/>
      <c r="J34" s="65"/>
      <c r="K34" s="65"/>
      <c r="L34" s="5"/>
      <c r="M34" s="193"/>
    </row>
    <row r="35" spans="2:14" ht="16.5" thickBot="1">
      <c r="B35" s="63" t="s">
        <v>85</v>
      </c>
      <c r="C35" s="37" t="s">
        <v>100</v>
      </c>
      <c r="D35" s="38" t="s">
        <v>98</v>
      </c>
      <c r="E35" s="39">
        <v>0.17</v>
      </c>
      <c r="F35" s="24">
        <f t="shared" ref="F35" si="4">$M$25/$M$26*E35</f>
        <v>3103.0630174793009</v>
      </c>
      <c r="G35" s="25">
        <f t="shared" ref="G35" si="5">$N$25/$N$26*E35</f>
        <v>3258.2161683532663</v>
      </c>
      <c r="H35" s="155">
        <f>F35-G35</f>
        <v>-155.15315087396539</v>
      </c>
      <c r="I35" s="34"/>
    </row>
    <row r="36" spans="2:14" ht="16.5" thickBot="1">
      <c r="B36" s="40" t="s">
        <v>89</v>
      </c>
      <c r="C36" s="41"/>
      <c r="D36" s="41"/>
      <c r="E36" s="42">
        <f>SUM(E26:E35)</f>
        <v>14.87</v>
      </c>
      <c r="F36" s="43">
        <f>SUM(F26:F35)</f>
        <v>251352</v>
      </c>
      <c r="G36" s="44">
        <f>SUM(G26:G35)</f>
        <v>344073.17499999999</v>
      </c>
      <c r="H36" s="45">
        <f>SUM(H26:H35)</f>
        <v>-92721.175000000017</v>
      </c>
      <c r="I36" s="66"/>
    </row>
    <row r="37" spans="2:14">
      <c r="B37" s="5"/>
      <c r="C37" s="5"/>
      <c r="D37" s="5"/>
      <c r="E37" s="15"/>
      <c r="F37" s="15"/>
      <c r="G37" s="15"/>
      <c r="H37" s="3"/>
    </row>
    <row r="38" spans="2:14" ht="16.5" customHeight="1" thickBot="1">
      <c r="B38" s="240" t="s">
        <v>184</v>
      </c>
      <c r="C38" s="240"/>
      <c r="D38" s="240"/>
      <c r="E38" s="240"/>
      <c r="F38" s="240"/>
      <c r="G38" s="240"/>
      <c r="H38" s="240"/>
      <c r="I38" s="46"/>
      <c r="J38" s="46"/>
    </row>
    <row r="39" spans="2:14" ht="42" customHeight="1" thickBot="1">
      <c r="B39" s="187" t="s">
        <v>183</v>
      </c>
      <c r="C39" s="226" t="s">
        <v>101</v>
      </c>
      <c r="D39" s="227"/>
      <c r="E39" s="236" t="s">
        <v>9</v>
      </c>
      <c r="F39" s="237"/>
      <c r="G39" s="236" t="s">
        <v>10</v>
      </c>
      <c r="H39" s="243"/>
      <c r="I39" s="163"/>
      <c r="J39" s="164"/>
      <c r="K39" s="47"/>
      <c r="L39" s="48"/>
      <c r="M39" s="193"/>
      <c r="N39" s="193"/>
    </row>
    <row r="40" spans="2:14">
      <c r="B40" s="156" t="s">
        <v>11</v>
      </c>
      <c r="C40" s="228">
        <f>E40+G40</f>
        <v>2106859.8502124045</v>
      </c>
      <c r="D40" s="229"/>
      <c r="E40" s="228">
        <f>F27+F28+F29+F30+F31+F34+F32+F35+E18+F26</f>
        <v>1725374.3302124045</v>
      </c>
      <c r="F40" s="229"/>
      <c r="G40" s="228">
        <f>F33+G18</f>
        <v>381485.52</v>
      </c>
      <c r="H40" s="244"/>
      <c r="I40" s="165"/>
      <c r="J40" s="166"/>
      <c r="K40" s="50"/>
      <c r="L40" s="50"/>
      <c r="M40" s="194"/>
    </row>
    <row r="41" spans="2:14">
      <c r="B41" s="157" t="s">
        <v>12</v>
      </c>
      <c r="C41" s="230">
        <f>E41+G41</f>
        <v>1880221.6178419711</v>
      </c>
      <c r="D41" s="231"/>
      <c r="E41" s="230">
        <f>E19+N27+168294.73</f>
        <v>1539853.727841971</v>
      </c>
      <c r="F41" s="231"/>
      <c r="G41" s="230">
        <f>G19+N29+44902.54</f>
        <v>340367.89</v>
      </c>
      <c r="H41" s="241"/>
      <c r="I41" s="165"/>
      <c r="J41" s="167"/>
      <c r="K41" s="52"/>
      <c r="L41" s="50"/>
      <c r="M41" s="194"/>
    </row>
    <row r="42" spans="2:14" ht="16.5" thickBot="1">
      <c r="B42" s="158" t="s">
        <v>88</v>
      </c>
      <c r="C42" s="232">
        <f>E42+G42</f>
        <v>2273583.2853999995</v>
      </c>
      <c r="D42" s="233"/>
      <c r="E42" s="232">
        <f>G27+G28+G29+G30+G31+G32+G34+G35+E20+G26</f>
        <v>1747092.2853999997</v>
      </c>
      <c r="F42" s="233"/>
      <c r="G42" s="232">
        <f>G33+G20</f>
        <v>526491</v>
      </c>
      <c r="H42" s="242"/>
      <c r="I42" s="165"/>
      <c r="J42" s="49"/>
      <c r="K42" s="34"/>
      <c r="L42" s="34"/>
    </row>
    <row r="43" spans="2:14" ht="27" customHeight="1" thickBot="1">
      <c r="B43" s="159" t="s">
        <v>147</v>
      </c>
      <c r="C43" s="234">
        <f>E43+G43</f>
        <v>-393361.66755802871</v>
      </c>
      <c r="D43" s="235"/>
      <c r="E43" s="245">
        <f>E41-E42</f>
        <v>-207238.55755802873</v>
      </c>
      <c r="F43" s="246"/>
      <c r="G43" s="245">
        <f>G41-G42</f>
        <v>-186123.11</v>
      </c>
      <c r="H43" s="247"/>
      <c r="I43" s="168"/>
      <c r="J43" s="153"/>
      <c r="K43" s="34"/>
      <c r="L43" s="34"/>
    </row>
    <row r="44" spans="2:14" ht="15" customHeight="1">
      <c r="B44" s="79"/>
      <c r="C44" s="151"/>
      <c r="D44" s="151"/>
      <c r="E44" s="153"/>
      <c r="F44" s="153"/>
      <c r="G44" s="153"/>
      <c r="H44" s="153"/>
      <c r="I44" s="53"/>
      <c r="J44" s="2"/>
      <c r="K44" s="2"/>
      <c r="L44" s="2"/>
      <c r="M44" s="192"/>
      <c r="N44" s="192"/>
    </row>
    <row r="45" spans="2:14" ht="16.5" customHeight="1">
      <c r="B45" s="53" t="s">
        <v>77</v>
      </c>
      <c r="C45" s="223" t="s">
        <v>150</v>
      </c>
      <c r="D45" s="223"/>
      <c r="E45" s="223"/>
      <c r="F45" s="249" t="s">
        <v>175</v>
      </c>
      <c r="G45" s="249"/>
      <c r="H45" s="53"/>
      <c r="I45" s="53"/>
      <c r="J45" s="2"/>
      <c r="K45" s="2"/>
      <c r="L45" s="2"/>
      <c r="M45" s="192"/>
      <c r="N45" s="192"/>
    </row>
    <row r="46" spans="2:14" ht="9.75" customHeight="1">
      <c r="B46" s="53"/>
      <c r="C46" s="54"/>
      <c r="D46" s="54"/>
      <c r="E46" s="222"/>
      <c r="F46" s="250"/>
      <c r="G46" s="250"/>
      <c r="H46" s="53"/>
      <c r="I46" s="53"/>
      <c r="J46" s="2"/>
      <c r="K46" s="2"/>
      <c r="L46" s="2"/>
      <c r="M46" s="192"/>
      <c r="N46" s="192"/>
    </row>
    <row r="47" spans="2:14" ht="15" customHeight="1">
      <c r="B47" s="53" t="s">
        <v>78</v>
      </c>
      <c r="C47" s="223" t="s">
        <v>150</v>
      </c>
      <c r="D47" s="223"/>
      <c r="E47" s="223"/>
      <c r="F47" s="249" t="s">
        <v>93</v>
      </c>
      <c r="G47" s="249"/>
      <c r="H47" s="53"/>
      <c r="I47" s="53"/>
    </row>
    <row r="48" spans="2:14" ht="8.25" customHeight="1">
      <c r="B48" s="53"/>
      <c r="C48" s="54"/>
      <c r="D48" s="54"/>
      <c r="E48" s="222"/>
      <c r="F48" s="249"/>
      <c r="G48" s="249"/>
      <c r="H48" s="53"/>
      <c r="I48" s="53"/>
    </row>
    <row r="49" spans="2:9" ht="15.75" customHeight="1">
      <c r="B49" s="53" t="s">
        <v>79</v>
      </c>
      <c r="C49" s="223" t="s">
        <v>151</v>
      </c>
      <c r="D49" s="223"/>
      <c r="E49" s="223"/>
      <c r="F49" s="249" t="s">
        <v>176</v>
      </c>
      <c r="G49" s="249"/>
      <c r="H49" s="53"/>
      <c r="I49" s="55"/>
    </row>
    <row r="50" spans="2:9" ht="9" customHeight="1">
      <c r="B50" s="55"/>
      <c r="C50" s="56"/>
      <c r="D50" s="56"/>
      <c r="E50" s="222"/>
      <c r="F50" s="203"/>
      <c r="G50" s="55"/>
      <c r="H50" s="57"/>
      <c r="I50" s="9"/>
    </row>
    <row r="51" spans="2:9" ht="17.25" customHeight="1">
      <c r="B51" s="53" t="s">
        <v>80</v>
      </c>
      <c r="C51" s="223" t="s">
        <v>151</v>
      </c>
      <c r="D51" s="223"/>
      <c r="E51" s="223"/>
      <c r="F51" s="249" t="s">
        <v>176</v>
      </c>
      <c r="G51" s="249"/>
      <c r="H51" s="53"/>
      <c r="I51" s="9"/>
    </row>
  </sheetData>
  <mergeCells count="57">
    <mergeCell ref="F51:G51"/>
    <mergeCell ref="F45:G45"/>
    <mergeCell ref="F48:G48"/>
    <mergeCell ref="C49:E49"/>
    <mergeCell ref="F49:G49"/>
    <mergeCell ref="C51:E51"/>
    <mergeCell ref="F46:G46"/>
    <mergeCell ref="F47:G47"/>
    <mergeCell ref="B1:H1"/>
    <mergeCell ref="E43:F43"/>
    <mergeCell ref="G39:H39"/>
    <mergeCell ref="D8:E8"/>
    <mergeCell ref="B23:H23"/>
    <mergeCell ref="B24:B25"/>
    <mergeCell ref="C24:C25"/>
    <mergeCell ref="E40:F40"/>
    <mergeCell ref="G43:H43"/>
    <mergeCell ref="F24:G24"/>
    <mergeCell ref="E41:F41"/>
    <mergeCell ref="G41:H41"/>
    <mergeCell ref="B38:H38"/>
    <mergeCell ref="H24:H25"/>
    <mergeCell ref="G40:H40"/>
    <mergeCell ref="D24:D25"/>
    <mergeCell ref="C39:D39"/>
    <mergeCell ref="C40:D40"/>
    <mergeCell ref="G42:H42"/>
    <mergeCell ref="B2:H2"/>
    <mergeCell ref="B3:H3"/>
    <mergeCell ref="B4:H4"/>
    <mergeCell ref="E42:F42"/>
    <mergeCell ref="B5:H6"/>
    <mergeCell ref="E39:F39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E24:E25"/>
    <mergeCell ref="C41:D41"/>
    <mergeCell ref="C42:D42"/>
    <mergeCell ref="C43:D43"/>
    <mergeCell ref="C45:E45"/>
    <mergeCell ref="C47:E47"/>
  </mergeCells>
  <printOptions horizontalCentered="1"/>
  <pageMargins left="0.19685039370078741" right="0.19685039370078741" top="0.15748031496062992" bottom="0.23622047244094491" header="0.16" footer="0.25"/>
  <pageSetup paperSize="9"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O92"/>
  <sheetViews>
    <sheetView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.85546875" style="1" customWidth="1"/>
    <col min="3" max="3" width="14.5703125" style="133" customWidth="1"/>
    <col min="4" max="4" width="10" style="3" customWidth="1"/>
    <col min="5" max="5" width="9.7109375" style="3" customWidth="1"/>
    <col min="6" max="6" width="10.140625" style="1" customWidth="1"/>
    <col min="7" max="7" width="10.28515625" style="1" customWidth="1"/>
    <col min="8" max="8" width="10.7109375" style="1" customWidth="1"/>
    <col min="9" max="9" width="17.5703125" style="1" customWidth="1"/>
    <col min="10" max="10" width="17.28515625" style="1" customWidth="1"/>
    <col min="11" max="11" width="9.140625" style="1"/>
    <col min="12" max="12" width="9.140625" style="81"/>
    <col min="13" max="14" width="18" style="188" customWidth="1"/>
    <col min="15" max="15" width="9.140625" style="81"/>
    <col min="16" max="16384" width="9.140625" style="1"/>
  </cols>
  <sheetData>
    <row r="1" spans="2:9">
      <c r="B1" s="253" t="s">
        <v>119</v>
      </c>
      <c r="C1" s="253"/>
      <c r="D1" s="253"/>
      <c r="E1" s="253"/>
      <c r="F1" s="253"/>
      <c r="G1" s="253"/>
      <c r="H1" s="253"/>
    </row>
    <row r="2" spans="2:9">
      <c r="B2" s="253" t="s">
        <v>120</v>
      </c>
      <c r="C2" s="253"/>
      <c r="D2" s="253"/>
      <c r="E2" s="253"/>
      <c r="F2" s="253"/>
      <c r="G2" s="253"/>
      <c r="H2" s="253"/>
    </row>
    <row r="3" spans="2:9">
      <c r="B3" s="253" t="s">
        <v>167</v>
      </c>
      <c r="C3" s="253"/>
      <c r="D3" s="253"/>
      <c r="E3" s="253"/>
      <c r="F3" s="253"/>
      <c r="G3" s="253"/>
      <c r="H3" s="253"/>
    </row>
    <row r="4" spans="2:9">
      <c r="B4" s="253" t="s">
        <v>179</v>
      </c>
      <c r="C4" s="253"/>
      <c r="D4" s="253"/>
      <c r="E4" s="253"/>
      <c r="F4" s="253"/>
      <c r="G4" s="253"/>
      <c r="H4" s="253"/>
    </row>
    <row r="5" spans="2:9" ht="19.5" customHeight="1">
      <c r="B5" s="254" t="s">
        <v>180</v>
      </c>
      <c r="C5" s="254"/>
      <c r="D5" s="254"/>
      <c r="E5" s="254"/>
      <c r="F5" s="254"/>
      <c r="G5" s="254"/>
      <c r="H5" s="254"/>
    </row>
    <row r="6" spans="2:9" ht="19.5" customHeight="1">
      <c r="B6" s="254"/>
      <c r="C6" s="254"/>
      <c r="D6" s="254"/>
      <c r="E6" s="254"/>
      <c r="F6" s="254"/>
      <c r="G6" s="254"/>
      <c r="H6" s="254"/>
    </row>
    <row r="7" spans="2:9" ht="8.25" customHeight="1"/>
    <row r="8" spans="2:9">
      <c r="B8" s="169" t="s">
        <v>0</v>
      </c>
      <c r="C8" s="180"/>
      <c r="D8" s="261" t="s">
        <v>61</v>
      </c>
      <c r="E8" s="261"/>
    </row>
    <row r="9" spans="2:9">
      <c r="B9" s="169" t="s">
        <v>1</v>
      </c>
      <c r="C9" s="180"/>
      <c r="D9" s="213">
        <v>1970</v>
      </c>
      <c r="E9" s="213"/>
    </row>
    <row r="10" spans="2:9" hidden="1" outlineLevel="1">
      <c r="B10" s="169" t="s">
        <v>2</v>
      </c>
      <c r="C10" s="180"/>
      <c r="D10" s="213">
        <v>4</v>
      </c>
      <c r="E10" s="213"/>
    </row>
    <row r="11" spans="2:9" hidden="1" outlineLevel="1">
      <c r="B11" s="169" t="s">
        <v>3</v>
      </c>
      <c r="C11" s="180"/>
      <c r="D11" s="213">
        <v>31</v>
      </c>
      <c r="E11" s="213"/>
    </row>
    <row r="12" spans="2:9" ht="30.75" hidden="1" customHeight="1" outlineLevel="1">
      <c r="B12" s="171" t="s">
        <v>4</v>
      </c>
      <c r="C12" s="181"/>
      <c r="D12" s="213" t="s">
        <v>62</v>
      </c>
      <c r="E12" s="213"/>
    </row>
    <row r="13" spans="2:9" collapsed="1">
      <c r="B13" s="169" t="s">
        <v>5</v>
      </c>
      <c r="C13" s="180"/>
      <c r="D13" s="213" t="s">
        <v>127</v>
      </c>
      <c r="E13" s="213"/>
      <c r="I13" s="5"/>
    </row>
    <row r="14" spans="2:9">
      <c r="B14" s="169" t="s">
        <v>6</v>
      </c>
      <c r="C14" s="180"/>
      <c r="D14" s="213" t="s">
        <v>135</v>
      </c>
      <c r="E14" s="213"/>
    </row>
    <row r="15" spans="2:9" ht="30.75" hidden="1" customHeight="1" outlineLevel="1">
      <c r="B15" s="16" t="s">
        <v>8</v>
      </c>
      <c r="C15" s="134"/>
      <c r="D15" s="214" t="s">
        <v>63</v>
      </c>
      <c r="E15" s="162"/>
      <c r="I15" s="5"/>
    </row>
    <row r="16" spans="2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3.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2548203.2445152546</v>
      </c>
      <c r="D18" s="267"/>
      <c r="E18" s="228">
        <v>1715316.3030372886</v>
      </c>
      <c r="F18" s="229"/>
      <c r="G18" s="228">
        <v>832886.94147796603</v>
      </c>
      <c r="H18" s="244"/>
      <c r="I18" s="5"/>
    </row>
    <row r="19" spans="2:14">
      <c r="B19" s="157" t="s">
        <v>12</v>
      </c>
      <c r="C19" s="230">
        <v>2301147.9000000004</v>
      </c>
      <c r="D19" s="268"/>
      <c r="E19" s="230">
        <v>1550348.7300000002</v>
      </c>
      <c r="F19" s="231"/>
      <c r="G19" s="230">
        <v>750799.17000000016</v>
      </c>
      <c r="H19" s="241"/>
      <c r="I19" s="5"/>
    </row>
    <row r="20" spans="2:14" ht="16.5" thickBot="1">
      <c r="B20" s="158" t="s">
        <v>88</v>
      </c>
      <c r="C20" s="269">
        <v>2455231.1515000006</v>
      </c>
      <c r="D20" s="270"/>
      <c r="E20" s="232">
        <v>1711676.3515000003</v>
      </c>
      <c r="F20" s="233"/>
      <c r="G20" s="232">
        <v>743554.8</v>
      </c>
      <c r="H20" s="242"/>
      <c r="I20" s="5"/>
    </row>
    <row r="21" spans="2:14" ht="25.5" customHeight="1" thickBot="1">
      <c r="B21" s="159" t="s">
        <v>146</v>
      </c>
      <c r="C21" s="234">
        <f>E21+G21</f>
        <v>-154083.25150000001</v>
      </c>
      <c r="D21" s="235"/>
      <c r="E21" s="245">
        <f>E19-E20</f>
        <v>-161327.62150000012</v>
      </c>
      <c r="F21" s="246"/>
      <c r="G21" s="245">
        <f>G19-G20</f>
        <v>7244.3700000001118</v>
      </c>
      <c r="H21" s="247"/>
      <c r="I21" s="5"/>
    </row>
    <row r="22" spans="2:14">
      <c r="B22" s="160"/>
      <c r="C22" s="161"/>
      <c r="D22" s="161"/>
      <c r="E22" s="152"/>
      <c r="F22" s="152"/>
      <c r="G22" s="152"/>
      <c r="H22" s="152"/>
      <c r="I22" s="5"/>
    </row>
    <row r="23" spans="2:14" ht="33" customHeight="1" thickBot="1">
      <c r="B23" s="263" t="s">
        <v>181</v>
      </c>
      <c r="C23" s="263"/>
      <c r="D23" s="263"/>
      <c r="E23" s="263"/>
      <c r="F23" s="263"/>
      <c r="G23" s="263"/>
      <c r="H23" s="263"/>
      <c r="L23" s="87"/>
      <c r="M23" s="224" t="s">
        <v>148</v>
      </c>
      <c r="N23" s="224" t="s">
        <v>149</v>
      </c>
    </row>
    <row r="24" spans="2:14" ht="33.7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87"/>
      <c r="M24" s="225"/>
      <c r="N24" s="225"/>
    </row>
    <row r="25" spans="2:14" ht="48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91">
        <v>187494.32</v>
      </c>
      <c r="N25" s="191">
        <f>M25*1.05</f>
        <v>196869.03600000002</v>
      </c>
    </row>
    <row r="26" spans="2:14" ht="39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18784.875160680531</v>
      </c>
      <c r="G26" s="25">
        <f>$N$25/$N$26*E26</f>
        <v>19724.118918714561</v>
      </c>
      <c r="H26" s="26">
        <f>F26-G26</f>
        <v>-939.24375803403018</v>
      </c>
      <c r="I26" s="27"/>
      <c r="J26" s="209"/>
      <c r="K26" s="209"/>
      <c r="L26" s="97"/>
      <c r="M26" s="191">
        <f>E35-E33</f>
        <v>10.579999999999998</v>
      </c>
      <c r="N26" s="191">
        <f>E35-E33</f>
        <v>10.579999999999998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21088.680604914935</v>
      </c>
      <c r="G27" s="25">
        <f t="shared" ref="G27:G31" si="1">$N$25/$N$26*E27</f>
        <v>22143.114635160684</v>
      </c>
      <c r="H27" s="26">
        <f t="shared" ref="H27:H32" si="2">F27-G27</f>
        <v>-1054.4340302457495</v>
      </c>
      <c r="I27" s="32"/>
      <c r="J27" s="2"/>
      <c r="K27" s="2"/>
      <c r="L27" s="126" t="s">
        <v>133</v>
      </c>
      <c r="M27" s="194">
        <f>M28/14.75*M26</f>
        <v>0</v>
      </c>
      <c r="N27" s="194">
        <f>N28/14.75*N26</f>
        <v>0</v>
      </c>
    </row>
    <row r="28" spans="2:14" ht="15.7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5670.9057088846885</v>
      </c>
      <c r="G28" s="25">
        <f t="shared" si="1"/>
        <v>5954.450994328924</v>
      </c>
      <c r="H28" s="26">
        <f t="shared" si="2"/>
        <v>-283.54528544423556</v>
      </c>
      <c r="I28" s="34"/>
      <c r="L28" s="126" t="s">
        <v>131</v>
      </c>
      <c r="M28" s="195"/>
      <c r="N28" s="195"/>
    </row>
    <row r="29" spans="2:14" ht="30" customHeight="1">
      <c r="B29" s="33" t="s">
        <v>84</v>
      </c>
      <c r="C29" s="35" t="s">
        <v>99</v>
      </c>
      <c r="D29" s="22" t="s">
        <v>98</v>
      </c>
      <c r="E29" s="30">
        <v>0.23</v>
      </c>
      <c r="F29" s="24">
        <f t="shared" si="0"/>
        <v>4075.96347826087</v>
      </c>
      <c r="G29" s="25">
        <f t="shared" si="1"/>
        <v>4279.7616521739146</v>
      </c>
      <c r="H29" s="26">
        <f t="shared" si="2"/>
        <v>-203.79817391304459</v>
      </c>
      <c r="I29" s="34"/>
      <c r="L29" s="186" t="s">
        <v>134</v>
      </c>
      <c r="M29" s="194">
        <f>M28/14.75*E33</f>
        <v>0</v>
      </c>
      <c r="N29" s="194">
        <f>N28/14.75*E33</f>
        <v>0</v>
      </c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20911.464801512288</v>
      </c>
      <c r="G30" s="25">
        <f t="shared" si="1"/>
        <v>21957.038041587904</v>
      </c>
      <c r="H30" s="26">
        <f t="shared" si="2"/>
        <v>-1045.5732400756169</v>
      </c>
      <c r="I30" s="34"/>
    </row>
    <row r="31" spans="2:14" ht="216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99418.065708884707</v>
      </c>
      <c r="G31" s="25">
        <f t="shared" si="1"/>
        <v>104388.96899432896</v>
      </c>
      <c r="H31" s="26">
        <f t="shared" si="2"/>
        <v>-4970.9032854442485</v>
      </c>
      <c r="I31" s="32"/>
      <c r="J31" s="2"/>
      <c r="K31" s="2"/>
      <c r="L31" s="102"/>
      <c r="M31" s="192"/>
      <c r="N31" s="192"/>
    </row>
    <row r="32" spans="2:14" ht="111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4253.1792816635161</v>
      </c>
      <c r="G32" s="25">
        <f t="shared" ref="G32" si="3">$N$25/$N$26*E32</f>
        <v>4465.8382457466932</v>
      </c>
      <c r="H32" s="26">
        <f t="shared" si="2"/>
        <v>-212.65896408317712</v>
      </c>
      <c r="I32" s="34"/>
    </row>
    <row r="33" spans="2:14" ht="27" customHeight="1">
      <c r="B33" s="33" t="s">
        <v>91</v>
      </c>
      <c r="C33" s="21" t="s">
        <v>97</v>
      </c>
      <c r="D33" s="22" t="s">
        <v>98</v>
      </c>
      <c r="E33" s="30">
        <v>6.28</v>
      </c>
      <c r="F33" s="24">
        <v>111291.52</v>
      </c>
      <c r="G33" s="31">
        <v>24025</v>
      </c>
      <c r="H33" s="26">
        <f>F33-G33</f>
        <v>87266.52</v>
      </c>
      <c r="I33" s="34"/>
      <c r="L33" s="87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0.75</v>
      </c>
      <c r="F34" s="24">
        <f t="shared" si="0"/>
        <v>13291.185255198488</v>
      </c>
      <c r="G34" s="25">
        <f t="shared" ref="G34" si="4">$N$25/$N$26*E34</f>
        <v>13955.744517958416</v>
      </c>
      <c r="H34" s="26">
        <f>F34-G34</f>
        <v>-664.55926275992715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16.86</v>
      </c>
      <c r="F35" s="43">
        <f>SUM(F26:F34)</f>
        <v>298785.84000000003</v>
      </c>
      <c r="G35" s="44">
        <f>SUM(G26:G34)</f>
        <v>220894.03600000002</v>
      </c>
      <c r="H35" s="45">
        <f>SUM(H26:H34)</f>
        <v>77891.803999999975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4.2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75"/>
      <c r="J38" s="164"/>
      <c r="K38" s="47"/>
      <c r="L38" s="122"/>
      <c r="M38" s="193"/>
      <c r="N38" s="193"/>
    </row>
    <row r="39" spans="2:14">
      <c r="B39" s="156" t="s">
        <v>11</v>
      </c>
      <c r="C39" s="228">
        <f>E39+G39</f>
        <v>2846989.0845152549</v>
      </c>
      <c r="D39" s="229"/>
      <c r="E39" s="228">
        <f>F26+F27+F28+F29+F30+F31+F32+F34+E18</f>
        <v>1902810.6230372887</v>
      </c>
      <c r="F39" s="229"/>
      <c r="G39" s="228">
        <f>F33+G18</f>
        <v>944178.46147796605</v>
      </c>
      <c r="H39" s="244"/>
      <c r="I39" s="165"/>
      <c r="J39" s="166"/>
      <c r="K39" s="50"/>
      <c r="L39" s="125"/>
      <c r="M39" s="194"/>
    </row>
    <row r="40" spans="2:14">
      <c r="B40" s="157" t="s">
        <v>12</v>
      </c>
      <c r="C40" s="230">
        <f>E40+G40</f>
        <v>2545262.5600000005</v>
      </c>
      <c r="D40" s="231"/>
      <c r="E40" s="230">
        <f>E19+153187.02</f>
        <v>1703535.7500000002</v>
      </c>
      <c r="F40" s="231"/>
      <c r="G40" s="230">
        <f>G19+90927.64</f>
        <v>841726.81000000017</v>
      </c>
      <c r="H40" s="241"/>
      <c r="I40" s="165"/>
      <c r="J40" s="167"/>
      <c r="K40" s="52"/>
      <c r="L40" s="125"/>
      <c r="M40" s="194"/>
    </row>
    <row r="41" spans="2:14" ht="16.5" thickBot="1">
      <c r="B41" s="158" t="s">
        <v>88</v>
      </c>
      <c r="C41" s="232">
        <f>E41+G41</f>
        <v>2676125.1875000005</v>
      </c>
      <c r="D41" s="233"/>
      <c r="E41" s="232">
        <f>G26+G27+G28+G29+G30+G31+G32+G34+E20</f>
        <v>1908545.3875000004</v>
      </c>
      <c r="F41" s="233"/>
      <c r="G41" s="232">
        <f>G33+G20</f>
        <v>767579.8</v>
      </c>
      <c r="H41" s="242"/>
      <c r="I41" s="165"/>
      <c r="J41" s="49"/>
      <c r="K41" s="34"/>
      <c r="L41" s="104"/>
    </row>
    <row r="42" spans="2:14" ht="28.5" customHeight="1" thickBot="1">
      <c r="B42" s="159" t="s">
        <v>147</v>
      </c>
      <c r="C42" s="234">
        <f>E42+G42</f>
        <v>-130862.62750000006</v>
      </c>
      <c r="D42" s="235"/>
      <c r="E42" s="245">
        <f>E40-E41</f>
        <v>-205009.63750000019</v>
      </c>
      <c r="F42" s="246"/>
      <c r="G42" s="245">
        <f>G40-G41</f>
        <v>74147.010000000126</v>
      </c>
      <c r="H42" s="247"/>
      <c r="I42" s="168"/>
      <c r="J42" s="153"/>
      <c r="K42" s="34"/>
      <c r="L42" s="104"/>
    </row>
    <row r="43" spans="2:14" ht="13.5" customHeight="1">
      <c r="B43" s="79"/>
      <c r="C43" s="151"/>
      <c r="D43" s="151"/>
      <c r="E43" s="153"/>
      <c r="F43" s="153"/>
      <c r="G43" s="153"/>
      <c r="H43" s="153"/>
      <c r="I43" s="176"/>
      <c r="J43" s="32"/>
      <c r="K43" s="2"/>
      <c r="L43" s="101"/>
      <c r="M43" s="192"/>
      <c r="N43" s="192"/>
    </row>
    <row r="44" spans="2:14" ht="15.7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176"/>
      <c r="J44" s="32"/>
      <c r="K44" s="2"/>
      <c r="L44" s="101"/>
      <c r="M44" s="192"/>
      <c r="N44" s="192"/>
    </row>
    <row r="45" spans="2:14" ht="9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101"/>
      <c r="M45" s="192"/>
      <c r="N45" s="192"/>
    </row>
    <row r="46" spans="2:14" ht="14.2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9" customHeight="1">
      <c r="B47" s="53"/>
      <c r="C47" s="54"/>
      <c r="D47" s="54"/>
      <c r="E47" s="222"/>
      <c r="F47" s="249"/>
      <c r="G47" s="249"/>
      <c r="H47" s="53"/>
      <c r="I47" s="53"/>
    </row>
    <row r="48" spans="2:14" ht="14.2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8" ht="10.5" customHeight="1">
      <c r="B49" s="55"/>
      <c r="C49" s="56"/>
      <c r="D49" s="56"/>
      <c r="E49" s="222"/>
      <c r="F49" s="203"/>
      <c r="G49" s="55"/>
      <c r="H49" s="57"/>
    </row>
    <row r="50" spans="2:8" ht="16.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</row>
    <row r="51" spans="2:8">
      <c r="C51" s="15"/>
    </row>
    <row r="52" spans="2:8">
      <c r="C52" s="15"/>
    </row>
    <row r="53" spans="2:8">
      <c r="C53" s="15"/>
    </row>
    <row r="54" spans="2:8">
      <c r="C54" s="15"/>
    </row>
    <row r="55" spans="2:8">
      <c r="C55" s="15"/>
    </row>
    <row r="56" spans="2:8">
      <c r="C56" s="15"/>
    </row>
    <row r="57" spans="2:8">
      <c r="C57" s="15"/>
    </row>
    <row r="58" spans="2:8">
      <c r="C58" s="15"/>
    </row>
    <row r="59" spans="2:8">
      <c r="C59" s="15"/>
    </row>
    <row r="60" spans="2:8">
      <c r="C60" s="15"/>
    </row>
    <row r="61" spans="2:8">
      <c r="C61" s="15"/>
    </row>
    <row r="62" spans="2:8">
      <c r="C62" s="15"/>
    </row>
    <row r="63" spans="2:8">
      <c r="C63" s="15"/>
    </row>
    <row r="64" spans="2:8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  <row r="87" spans="3:3">
      <c r="C87" s="15"/>
    </row>
    <row r="88" spans="3:3">
      <c r="C88" s="15"/>
    </row>
    <row r="89" spans="3:3">
      <c r="C89" s="15"/>
    </row>
    <row r="90" spans="3:3">
      <c r="C90" s="15"/>
    </row>
    <row r="91" spans="3:3">
      <c r="C91" s="15"/>
    </row>
    <row r="92" spans="3:3">
      <c r="C92" s="15"/>
    </row>
  </sheetData>
  <mergeCells count="57">
    <mergeCell ref="B1:H1"/>
    <mergeCell ref="E42:F42"/>
    <mergeCell ref="G42:H42"/>
    <mergeCell ref="G39:H39"/>
    <mergeCell ref="E41:F41"/>
    <mergeCell ref="E39:F39"/>
    <mergeCell ref="E40:F40"/>
    <mergeCell ref="G40:H40"/>
    <mergeCell ref="B2:H2"/>
    <mergeCell ref="B3:H3"/>
    <mergeCell ref="B4:H4"/>
    <mergeCell ref="B37:H37"/>
    <mergeCell ref="G41:H41"/>
    <mergeCell ref="E38:F38"/>
    <mergeCell ref="G38:H38"/>
    <mergeCell ref="B5:H6"/>
    <mergeCell ref="D8:E8"/>
    <mergeCell ref="B23:H23"/>
    <mergeCell ref="B24:B25"/>
    <mergeCell ref="C24:C25"/>
    <mergeCell ref="D24:D25"/>
    <mergeCell ref="E24:E25"/>
    <mergeCell ref="F24:G24"/>
    <mergeCell ref="H24:H25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48:E48"/>
    <mergeCell ref="F48:G48"/>
    <mergeCell ref="C50:E50"/>
    <mergeCell ref="C38:D38"/>
    <mergeCell ref="C39:D39"/>
    <mergeCell ref="C40:D40"/>
    <mergeCell ref="C41:D41"/>
    <mergeCell ref="C42:D42"/>
    <mergeCell ref="F46:G46"/>
    <mergeCell ref="F50:G50"/>
    <mergeCell ref="F44:G44"/>
    <mergeCell ref="F45:G45"/>
    <mergeCell ref="F47:G47"/>
    <mergeCell ref="C44:E44"/>
    <mergeCell ref="C46:E46"/>
  </mergeCells>
  <printOptions horizontalCentered="1"/>
  <pageMargins left="0.19685039370078741" right="0.19685039370078741" top="0.19685039370078741" bottom="0.23622047244094491" header="0.31496062992125984" footer="0.24"/>
  <pageSetup paperSize="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80"/>
  <sheetViews>
    <sheetView zoomScale="110" zoomScaleNormal="110" workbookViewId="0">
      <selection activeCell="B1" sqref="B1:H49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42578125" style="3" customWidth="1"/>
    <col min="4" max="4" width="8.5703125" style="3" customWidth="1"/>
    <col min="5" max="5" width="9.5703125" style="3" customWidth="1"/>
    <col min="6" max="6" width="9.5703125" style="1" customWidth="1"/>
    <col min="7" max="7" width="10.28515625" style="1" customWidth="1"/>
    <col min="8" max="8" width="10.5703125" style="1" customWidth="1"/>
    <col min="9" max="9" width="15.85546875" style="1" customWidth="1"/>
    <col min="10" max="11" width="14" style="1" customWidth="1"/>
    <col min="12" max="13" width="9.140625" style="1"/>
    <col min="14" max="14" width="16.85546875" style="188" customWidth="1"/>
    <col min="15" max="15" width="15.42578125" style="188" customWidth="1"/>
    <col min="16" max="16384" width="9.140625" style="1"/>
  </cols>
  <sheetData>
    <row r="1" spans="1:11">
      <c r="B1" s="253" t="s">
        <v>119</v>
      </c>
      <c r="C1" s="253"/>
      <c r="D1" s="253"/>
      <c r="E1" s="253"/>
      <c r="F1" s="253"/>
      <c r="G1" s="253"/>
      <c r="H1" s="253"/>
      <c r="I1" s="55"/>
      <c r="J1" s="55"/>
      <c r="K1" s="8"/>
    </row>
    <row r="2" spans="1:11">
      <c r="B2" s="253" t="s">
        <v>120</v>
      </c>
      <c r="C2" s="253"/>
      <c r="D2" s="253"/>
      <c r="E2" s="253"/>
      <c r="F2" s="253"/>
      <c r="G2" s="253"/>
      <c r="H2" s="253"/>
      <c r="I2" s="55"/>
      <c r="J2" s="55"/>
      <c r="K2" s="8"/>
    </row>
    <row r="3" spans="1:11">
      <c r="B3" s="253" t="s">
        <v>168</v>
      </c>
      <c r="C3" s="253"/>
      <c r="D3" s="253"/>
      <c r="E3" s="253"/>
      <c r="F3" s="253"/>
      <c r="G3" s="253"/>
      <c r="H3" s="253"/>
      <c r="I3" s="55"/>
      <c r="J3" s="55"/>
      <c r="K3" s="8"/>
    </row>
    <row r="4" spans="1:11">
      <c r="B4" s="253" t="s">
        <v>179</v>
      </c>
      <c r="C4" s="253"/>
      <c r="D4" s="253"/>
      <c r="E4" s="253"/>
      <c r="F4" s="253"/>
      <c r="G4" s="253"/>
      <c r="H4" s="253"/>
      <c r="I4" s="55"/>
      <c r="J4" s="55"/>
      <c r="K4" s="8"/>
    </row>
    <row r="5" spans="1:11" ht="15.75" customHeight="1">
      <c r="A5" s="14"/>
      <c r="B5" s="254" t="s">
        <v>180</v>
      </c>
      <c r="C5" s="254"/>
      <c r="D5" s="254"/>
      <c r="E5" s="254"/>
      <c r="F5" s="254"/>
      <c r="G5" s="254"/>
      <c r="H5" s="254"/>
      <c r="I5" s="14"/>
    </row>
    <row r="6" spans="1:11" ht="24" customHeight="1">
      <c r="A6" s="14"/>
      <c r="B6" s="254"/>
      <c r="C6" s="254"/>
      <c r="D6" s="254"/>
      <c r="E6" s="254"/>
      <c r="F6" s="254"/>
      <c r="G6" s="254"/>
      <c r="H6" s="254"/>
      <c r="I6" s="14"/>
    </row>
    <row r="7" spans="1:11" ht="8.25" customHeight="1"/>
    <row r="8" spans="1:11">
      <c r="B8" s="169" t="s">
        <v>0</v>
      </c>
      <c r="C8" s="178"/>
      <c r="D8" s="261" t="s">
        <v>64</v>
      </c>
      <c r="E8" s="261"/>
    </row>
    <row r="9" spans="1:11">
      <c r="B9" s="169" t="s">
        <v>1</v>
      </c>
      <c r="C9" s="178"/>
      <c r="D9" s="213">
        <v>1969</v>
      </c>
      <c r="E9" s="213"/>
    </row>
    <row r="10" spans="1:11" ht="15.75" hidden="1" customHeight="1" outlineLevel="1">
      <c r="B10" s="169" t="s">
        <v>2</v>
      </c>
      <c r="C10" s="178"/>
      <c r="D10" s="213">
        <v>4</v>
      </c>
      <c r="E10" s="213"/>
    </row>
    <row r="11" spans="1:11" ht="15.75" hidden="1" customHeight="1" outlineLevel="1">
      <c r="B11" s="169" t="s">
        <v>3</v>
      </c>
      <c r="C11" s="178"/>
      <c r="D11" s="213">
        <v>63</v>
      </c>
      <c r="E11" s="213"/>
    </row>
    <row r="12" spans="1:11" ht="30.75" hidden="1" customHeight="1" outlineLevel="1">
      <c r="B12" s="171" t="s">
        <v>4</v>
      </c>
      <c r="C12" s="179"/>
      <c r="D12" s="213" t="s">
        <v>65</v>
      </c>
      <c r="E12" s="213"/>
    </row>
    <row r="13" spans="1:11" collapsed="1">
      <c r="B13" s="169" t="s">
        <v>5</v>
      </c>
      <c r="C13" s="178"/>
      <c r="D13" s="213" t="s">
        <v>128</v>
      </c>
      <c r="E13" s="213"/>
      <c r="I13" s="5"/>
    </row>
    <row r="14" spans="1:11" ht="15.75" hidden="1" customHeight="1" outlineLevel="1">
      <c r="B14" s="1" t="s">
        <v>6</v>
      </c>
      <c r="D14" s="162" t="s">
        <v>66</v>
      </c>
      <c r="E14" s="162"/>
    </row>
    <row r="15" spans="1:11" ht="30.75" hidden="1" customHeight="1" outlineLevel="1">
      <c r="B15" s="16" t="s">
        <v>8</v>
      </c>
      <c r="C15" s="74"/>
      <c r="D15" s="214" t="s">
        <v>67</v>
      </c>
      <c r="E15" s="162"/>
      <c r="I15" s="5"/>
    </row>
    <row r="16" spans="1:11" ht="20.25" customHeight="1" collapsed="1" thickBot="1">
      <c r="B16" s="240" t="s">
        <v>177</v>
      </c>
      <c r="C16" s="240"/>
      <c r="D16" s="240"/>
      <c r="E16" s="240"/>
      <c r="F16" s="240"/>
      <c r="G16" s="240"/>
      <c r="H16" s="240"/>
      <c r="I16" s="150"/>
      <c r="J16" s="150"/>
    </row>
    <row r="17" spans="2:15" ht="45.7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11"/>
      <c r="J17" s="11"/>
    </row>
    <row r="18" spans="2:15">
      <c r="B18" s="156" t="s">
        <v>11</v>
      </c>
      <c r="C18" s="266">
        <v>4335429.459999999</v>
      </c>
      <c r="D18" s="279"/>
      <c r="E18" s="266">
        <v>2860201.4299999992</v>
      </c>
      <c r="F18" s="279"/>
      <c r="G18" s="266">
        <v>1475228.03</v>
      </c>
      <c r="H18" s="285"/>
      <c r="I18" s="12"/>
      <c r="J18" s="12"/>
    </row>
    <row r="19" spans="2:15">
      <c r="B19" s="157" t="s">
        <v>12</v>
      </c>
      <c r="C19" s="230">
        <v>4146309.41</v>
      </c>
      <c r="D19" s="280"/>
      <c r="E19" s="230">
        <v>2734956.86</v>
      </c>
      <c r="F19" s="280"/>
      <c r="G19" s="230">
        <v>1411352.55</v>
      </c>
      <c r="H19" s="293"/>
      <c r="I19" s="12"/>
      <c r="J19" s="12"/>
    </row>
    <row r="20" spans="2:15" ht="16.5" thickBot="1">
      <c r="B20" s="158" t="s">
        <v>88</v>
      </c>
      <c r="C20" s="269">
        <v>4355386.3988999994</v>
      </c>
      <c r="D20" s="276"/>
      <c r="E20" s="269">
        <v>2888729.3988999994</v>
      </c>
      <c r="F20" s="276"/>
      <c r="G20" s="269">
        <v>1466657</v>
      </c>
      <c r="H20" s="292"/>
      <c r="I20" s="12"/>
      <c r="J20" s="12"/>
    </row>
    <row r="21" spans="2:15" ht="26.25" customHeight="1" thickBot="1">
      <c r="B21" s="159" t="s">
        <v>146</v>
      </c>
      <c r="C21" s="234">
        <f>C19-C20</f>
        <v>-209076.9888999993</v>
      </c>
      <c r="D21" s="277"/>
      <c r="E21" s="245">
        <f>E19-E20</f>
        <v>-153772.53889999958</v>
      </c>
      <c r="F21" s="277"/>
      <c r="G21" s="245">
        <f>G19-G20</f>
        <v>-55304.449999999953</v>
      </c>
      <c r="H21" s="294"/>
      <c r="I21" s="151"/>
      <c r="J21" s="151"/>
    </row>
    <row r="22" spans="2:15">
      <c r="B22" s="16"/>
      <c r="C22" s="74"/>
      <c r="D22" s="214"/>
      <c r="E22" s="162"/>
      <c r="I22" s="5"/>
    </row>
    <row r="23" spans="2:15" ht="38.25" customHeight="1" thickBot="1">
      <c r="B23" s="263" t="s">
        <v>181</v>
      </c>
      <c r="C23" s="263"/>
      <c r="D23" s="263"/>
      <c r="E23" s="263"/>
      <c r="F23" s="263"/>
      <c r="G23" s="263"/>
      <c r="H23" s="263"/>
      <c r="M23" s="5"/>
      <c r="N23" s="224" t="s">
        <v>148</v>
      </c>
      <c r="O23" s="224" t="s">
        <v>149</v>
      </c>
    </row>
    <row r="24" spans="2:15" ht="32.2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M24" s="5"/>
      <c r="N24" s="278"/>
      <c r="O24" s="278"/>
    </row>
    <row r="25" spans="2:15" ht="41.2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N25" s="189">
        <v>307108.62</v>
      </c>
      <c r="O25" s="189">
        <f>N25*1.05</f>
        <v>322464.05100000004</v>
      </c>
    </row>
    <row r="26" spans="2:15" ht="38.25">
      <c r="B26" s="20" t="s">
        <v>86</v>
      </c>
      <c r="C26" s="21" t="s">
        <v>97</v>
      </c>
      <c r="D26" s="22" t="s">
        <v>98</v>
      </c>
      <c r="E26" s="23">
        <v>1.06</v>
      </c>
      <c r="F26" s="24">
        <f>$N$25/$N$26*E26</f>
        <v>32456.145284147555</v>
      </c>
      <c r="G26" s="25">
        <f>$O$25/$O$26*E26</f>
        <v>34078.952548354937</v>
      </c>
      <c r="H26" s="26">
        <f>F26-G26</f>
        <v>-1622.8072642073821</v>
      </c>
      <c r="I26" s="27"/>
      <c r="J26" s="209"/>
      <c r="K26" s="209"/>
      <c r="L26" s="209"/>
      <c r="M26" s="28"/>
      <c r="N26" s="191">
        <f>E35-E33</f>
        <v>10.030000000000001</v>
      </c>
      <c r="O26" s="191">
        <f>E35-E33</f>
        <v>10.030000000000001</v>
      </c>
    </row>
    <row r="27" spans="2:15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$N$25/$N$26*E27</f>
        <v>36436.615932203385</v>
      </c>
      <c r="G27" s="25">
        <f t="shared" ref="G27:G31" si="1">$O$25/$O$26*E27</f>
        <v>38258.446728813557</v>
      </c>
      <c r="H27" s="26">
        <f t="shared" ref="H27:H32" si="2">F27-G27</f>
        <v>-1821.8307966101711</v>
      </c>
      <c r="I27" s="32"/>
      <c r="J27" s="2"/>
      <c r="K27" s="2"/>
      <c r="L27" s="2"/>
      <c r="M27" s="2"/>
      <c r="N27" s="192"/>
      <c r="O27" s="192"/>
    </row>
    <row r="28" spans="2:15" ht="36.7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9798.0815952143566</v>
      </c>
      <c r="G28" s="25">
        <f t="shared" si="1"/>
        <v>10287.985674975074</v>
      </c>
      <c r="H28" s="26">
        <f t="shared" si="2"/>
        <v>-489.90407976071765</v>
      </c>
      <c r="I28" s="34"/>
      <c r="M28" s="5"/>
    </row>
    <row r="29" spans="2:15" ht="25.5">
      <c r="B29" s="33" t="s">
        <v>84</v>
      </c>
      <c r="C29" s="35" t="s">
        <v>99</v>
      </c>
      <c r="D29" s="22" t="s">
        <v>98</v>
      </c>
      <c r="E29" s="30">
        <v>0.18</v>
      </c>
      <c r="F29" s="24">
        <f t="shared" si="0"/>
        <v>5511.4208973080749</v>
      </c>
      <c r="G29" s="25">
        <f t="shared" si="1"/>
        <v>5786.9919421734794</v>
      </c>
      <c r="H29" s="26">
        <f t="shared" si="2"/>
        <v>-275.57104486540447</v>
      </c>
      <c r="I29" s="34"/>
      <c r="M29" s="5"/>
    </row>
    <row r="30" spans="2:15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36130.425882352938</v>
      </c>
      <c r="G30" s="25">
        <f t="shared" si="1"/>
        <v>37936.947176470581</v>
      </c>
      <c r="H30" s="26">
        <f t="shared" si="2"/>
        <v>-1806.5212941176433</v>
      </c>
      <c r="I30" s="34"/>
    </row>
    <row r="31" spans="2:15" ht="216.7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171772.61796610168</v>
      </c>
      <c r="G31" s="25">
        <f t="shared" si="1"/>
        <v>180361.24886440678</v>
      </c>
      <c r="H31" s="26">
        <f t="shared" si="2"/>
        <v>-8588.6308983050985</v>
      </c>
      <c r="I31" s="32"/>
      <c r="J31" s="2"/>
      <c r="K31" s="2"/>
      <c r="L31" s="2"/>
      <c r="M31" s="4"/>
      <c r="N31" s="192"/>
      <c r="O31" s="192"/>
    </row>
    <row r="32" spans="2:15" ht="105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7348.5611964107666</v>
      </c>
      <c r="G32" s="25">
        <f t="shared" ref="G32" si="3">$O$25/$O$26*E32</f>
        <v>7715.9892562313053</v>
      </c>
      <c r="H32" s="26">
        <f t="shared" si="2"/>
        <v>-367.42805982053869</v>
      </c>
      <c r="I32" s="34"/>
    </row>
    <row r="33" spans="2:15" ht="26.25" customHeight="1">
      <c r="B33" s="33" t="s">
        <v>91</v>
      </c>
      <c r="C33" s="21" t="s">
        <v>97</v>
      </c>
      <c r="D33" s="22" t="s">
        <v>98</v>
      </c>
      <c r="E33" s="30">
        <v>7.22</v>
      </c>
      <c r="F33" s="24">
        <v>221069.22</v>
      </c>
      <c r="G33" s="31">
        <v>132181</v>
      </c>
      <c r="H33" s="26">
        <f>F33-G33</f>
        <v>88888.22</v>
      </c>
      <c r="I33" s="34"/>
      <c r="M33" s="5"/>
    </row>
    <row r="34" spans="2:15" ht="16.5" thickBot="1">
      <c r="B34" s="63" t="s">
        <v>85</v>
      </c>
      <c r="C34" s="37" t="s">
        <v>100</v>
      </c>
      <c r="D34" s="38" t="s">
        <v>98</v>
      </c>
      <c r="E34" s="39">
        <v>0.25</v>
      </c>
      <c r="F34" s="24">
        <f t="shared" si="0"/>
        <v>7654.7512462612158</v>
      </c>
      <c r="G34" s="25">
        <f t="shared" ref="G34" si="4">$O$25/$O$26*E34</f>
        <v>8037.4888085742768</v>
      </c>
      <c r="H34" s="26">
        <f>F34-G34</f>
        <v>-382.73756231306106</v>
      </c>
      <c r="I34" s="34"/>
    </row>
    <row r="35" spans="2:15" ht="16.5" thickBot="1">
      <c r="B35" s="40" t="s">
        <v>89</v>
      </c>
      <c r="C35" s="41"/>
      <c r="D35" s="41"/>
      <c r="E35" s="42">
        <f>SUM(E26:E34)</f>
        <v>17.25</v>
      </c>
      <c r="F35" s="43">
        <f>SUM(F26:F34)</f>
        <v>528177.84</v>
      </c>
      <c r="G35" s="44">
        <f>SUM(G26:G34)</f>
        <v>454645.05099999998</v>
      </c>
      <c r="H35" s="45">
        <f>SUM(H26:H34)</f>
        <v>73532.788999999975</v>
      </c>
      <c r="I35" s="66"/>
    </row>
    <row r="36" spans="2:15">
      <c r="B36" s="5"/>
      <c r="C36" s="5"/>
      <c r="D36" s="5"/>
      <c r="E36" s="15"/>
      <c r="F36" s="15"/>
      <c r="G36" s="15"/>
      <c r="H36" s="3"/>
    </row>
    <row r="37" spans="2:15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150"/>
      <c r="J37" s="150"/>
      <c r="K37" s="10"/>
    </row>
    <row r="38" spans="2:15" ht="41.2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1"/>
      <c r="J38" s="11"/>
      <c r="K38" s="11"/>
      <c r="L38" s="47"/>
      <c r="M38" s="48"/>
      <c r="N38" s="193"/>
      <c r="O38" s="193"/>
    </row>
    <row r="39" spans="2:15">
      <c r="B39" s="156" t="s">
        <v>11</v>
      </c>
      <c r="C39" s="266">
        <f>E39+G39+I39+J39</f>
        <v>4863607.2999999989</v>
      </c>
      <c r="D39" s="279"/>
      <c r="E39" s="266">
        <f>F26+F27+F28+F29+F30+F31+F32+F34+E18</f>
        <v>3167310.0499999993</v>
      </c>
      <c r="F39" s="279"/>
      <c r="G39" s="266">
        <f>F33+G18</f>
        <v>1696297.25</v>
      </c>
      <c r="H39" s="285"/>
      <c r="I39" s="12"/>
      <c r="J39" s="12"/>
      <c r="K39" s="12"/>
      <c r="L39" s="50"/>
      <c r="M39" s="50"/>
      <c r="N39" s="194"/>
    </row>
    <row r="40" spans="2:15">
      <c r="B40" s="157" t="s">
        <v>12</v>
      </c>
      <c r="C40" s="230">
        <f>E40+G40+I40+J40</f>
        <v>4656183.24</v>
      </c>
      <c r="D40" s="280"/>
      <c r="E40" s="230">
        <f>E19+296465.83</f>
        <v>3031422.69</v>
      </c>
      <c r="F40" s="280"/>
      <c r="G40" s="230">
        <f>G19+213408</f>
        <v>1624760.55</v>
      </c>
      <c r="H40" s="293"/>
      <c r="I40" s="12"/>
      <c r="J40" s="12"/>
      <c r="K40" s="12"/>
      <c r="L40" s="52"/>
      <c r="M40" s="50"/>
      <c r="N40" s="194"/>
    </row>
    <row r="41" spans="2:15" ht="16.5" thickBot="1">
      <c r="B41" s="158" t="s">
        <v>88</v>
      </c>
      <c r="C41" s="269">
        <f>E41+G41+I41+J41</f>
        <v>4810030.4498999994</v>
      </c>
      <c r="D41" s="276"/>
      <c r="E41" s="269">
        <f>G26+G27+G28+G29+G30+G31+G32+G34+E20</f>
        <v>3211193.4498999994</v>
      </c>
      <c r="F41" s="276"/>
      <c r="G41" s="269">
        <f>G33+G20-1</f>
        <v>1598837</v>
      </c>
      <c r="H41" s="292"/>
      <c r="I41" s="12"/>
      <c r="J41" s="12"/>
      <c r="K41" s="12"/>
      <c r="L41" s="34"/>
      <c r="M41" s="34"/>
    </row>
    <row r="42" spans="2:15" ht="29.25" customHeight="1" thickBot="1">
      <c r="B42" s="159" t="s">
        <v>147</v>
      </c>
      <c r="C42" s="234">
        <f>C40-C41</f>
        <v>-153847.2098999992</v>
      </c>
      <c r="D42" s="277"/>
      <c r="E42" s="245">
        <f>E40-E41</f>
        <v>-179770.75989999948</v>
      </c>
      <c r="F42" s="277"/>
      <c r="G42" s="245">
        <f>G40-G41</f>
        <v>25923.550000000047</v>
      </c>
      <c r="H42" s="294"/>
      <c r="I42" s="151"/>
      <c r="J42" s="151"/>
      <c r="K42" s="13"/>
      <c r="L42" s="34"/>
      <c r="M42" s="34"/>
    </row>
    <row r="43" spans="2:15" ht="32.25" customHeight="1">
      <c r="B43" s="53" t="s">
        <v>77</v>
      </c>
      <c r="C43" s="300" t="s">
        <v>150</v>
      </c>
      <c r="D43" s="300"/>
      <c r="E43" s="300"/>
      <c r="F43" s="302" t="s">
        <v>175</v>
      </c>
      <c r="G43" s="302"/>
      <c r="H43" s="144"/>
      <c r="I43" s="176"/>
      <c r="J43" s="2"/>
      <c r="K43" s="2"/>
      <c r="L43" s="2"/>
      <c r="M43" s="2"/>
      <c r="N43" s="192"/>
      <c r="O43" s="192"/>
    </row>
    <row r="44" spans="2:15" ht="8.25" customHeight="1">
      <c r="B44" s="53"/>
      <c r="C44" s="54"/>
      <c r="D44" s="54"/>
      <c r="E44" s="222"/>
      <c r="F44" s="250"/>
      <c r="G44" s="250"/>
      <c r="H44" s="53"/>
      <c r="I44" s="53"/>
      <c r="J44" s="2"/>
      <c r="K44" s="2"/>
      <c r="L44" s="2"/>
      <c r="M44" s="2"/>
      <c r="N44" s="192"/>
      <c r="O44" s="192"/>
    </row>
    <row r="45" spans="2:15">
      <c r="B45" s="53" t="s">
        <v>78</v>
      </c>
      <c r="C45" s="223" t="s">
        <v>150</v>
      </c>
      <c r="D45" s="223"/>
      <c r="E45" s="223"/>
      <c r="F45" s="249" t="s">
        <v>93</v>
      </c>
      <c r="G45" s="249"/>
      <c r="H45" s="53"/>
      <c r="I45" s="53"/>
      <c r="J45" s="2"/>
      <c r="K45" s="2"/>
      <c r="L45" s="2"/>
      <c r="M45" s="2"/>
      <c r="N45" s="192"/>
      <c r="O45" s="192"/>
    </row>
    <row r="46" spans="2:15" ht="8.25" customHeight="1">
      <c r="B46" s="53"/>
      <c r="C46" s="54"/>
      <c r="D46" s="54"/>
      <c r="E46" s="222"/>
      <c r="F46" s="249"/>
      <c r="G46" s="249"/>
      <c r="H46" s="53"/>
      <c r="I46" s="53"/>
    </row>
    <row r="47" spans="2:15">
      <c r="B47" s="53" t="s">
        <v>79</v>
      </c>
      <c r="C47" s="223" t="s">
        <v>151</v>
      </c>
      <c r="D47" s="223"/>
      <c r="E47" s="223"/>
      <c r="F47" s="249" t="s">
        <v>176</v>
      </c>
      <c r="G47" s="249"/>
      <c r="H47" s="53"/>
      <c r="I47" s="53"/>
    </row>
    <row r="48" spans="2:15" ht="8.25" customHeight="1">
      <c r="B48" s="55"/>
      <c r="C48" s="56"/>
      <c r="D48" s="56"/>
      <c r="E48" s="222"/>
      <c r="F48" s="203"/>
      <c r="G48" s="55"/>
      <c r="H48" s="57"/>
      <c r="I48" s="6"/>
    </row>
    <row r="49" spans="2:7">
      <c r="B49" s="53" t="s">
        <v>80</v>
      </c>
      <c r="C49" s="223" t="s">
        <v>151</v>
      </c>
      <c r="D49" s="223"/>
      <c r="E49" s="223"/>
      <c r="F49" s="249" t="s">
        <v>176</v>
      </c>
      <c r="G49" s="249"/>
    </row>
    <row r="50" spans="2:7" ht="9" customHeight="1">
      <c r="B50" s="9"/>
      <c r="C50" s="9"/>
      <c r="D50" s="9"/>
      <c r="E50" s="222"/>
      <c r="F50" s="301"/>
      <c r="G50" s="301"/>
    </row>
    <row r="51" spans="2:7">
      <c r="C51" s="15"/>
      <c r="E51" s="210"/>
    </row>
    <row r="52" spans="2:7">
      <c r="C52" s="15"/>
    </row>
    <row r="53" spans="2:7">
      <c r="C53" s="15"/>
    </row>
    <row r="54" spans="2:7">
      <c r="C54" s="15"/>
    </row>
    <row r="55" spans="2:7">
      <c r="C55" s="15"/>
    </row>
    <row r="56" spans="2:7">
      <c r="C56" s="15"/>
    </row>
    <row r="57" spans="2:7">
      <c r="C57" s="15"/>
    </row>
    <row r="58" spans="2:7">
      <c r="C58" s="15"/>
    </row>
    <row r="59" spans="2:7">
      <c r="C59" s="15"/>
    </row>
    <row r="60" spans="2:7">
      <c r="C60" s="15"/>
    </row>
    <row r="61" spans="2:7">
      <c r="C61" s="15"/>
    </row>
    <row r="62" spans="2:7">
      <c r="C62" s="15"/>
    </row>
    <row r="63" spans="2:7">
      <c r="C63" s="15"/>
    </row>
    <row r="64" spans="2:7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</sheetData>
  <mergeCells count="58">
    <mergeCell ref="B1:H1"/>
    <mergeCell ref="B2:H2"/>
    <mergeCell ref="B3:H3"/>
    <mergeCell ref="B4:H4"/>
    <mergeCell ref="E42:F42"/>
    <mergeCell ref="H24:H25"/>
    <mergeCell ref="D8:E8"/>
    <mergeCell ref="G39:H39"/>
    <mergeCell ref="G40:H40"/>
    <mergeCell ref="B5:H6"/>
    <mergeCell ref="E38:F38"/>
    <mergeCell ref="G19:H19"/>
    <mergeCell ref="C20:D20"/>
    <mergeCell ref="E20:F20"/>
    <mergeCell ref="G20:H20"/>
    <mergeCell ref="C21:D21"/>
    <mergeCell ref="F50:G50"/>
    <mergeCell ref="G38:H38"/>
    <mergeCell ref="B23:H23"/>
    <mergeCell ref="B24:B25"/>
    <mergeCell ref="C24:C25"/>
    <mergeCell ref="D24:D25"/>
    <mergeCell ref="E24:E25"/>
    <mergeCell ref="F24:G24"/>
    <mergeCell ref="F49:G49"/>
    <mergeCell ref="F43:G43"/>
    <mergeCell ref="E41:F41"/>
    <mergeCell ref="E39:F39"/>
    <mergeCell ref="F46:G46"/>
    <mergeCell ref="E40:F40"/>
    <mergeCell ref="F44:G44"/>
    <mergeCell ref="C47:E47"/>
    <mergeCell ref="O23:O24"/>
    <mergeCell ref="C43:E43"/>
    <mergeCell ref="C45:E45"/>
    <mergeCell ref="N23:N24"/>
    <mergeCell ref="C17:D17"/>
    <mergeCell ref="E17:F17"/>
    <mergeCell ref="G17:H17"/>
    <mergeCell ref="C18:D18"/>
    <mergeCell ref="E18:F18"/>
    <mergeCell ref="G18:H18"/>
    <mergeCell ref="E21:F21"/>
    <mergeCell ref="G21:H21"/>
    <mergeCell ref="C38:D38"/>
    <mergeCell ref="C19:D19"/>
    <mergeCell ref="E19:F19"/>
    <mergeCell ref="C39:D39"/>
    <mergeCell ref="C40:D40"/>
    <mergeCell ref="C41:D41"/>
    <mergeCell ref="C42:D42"/>
    <mergeCell ref="B16:H16"/>
    <mergeCell ref="B37:H37"/>
    <mergeCell ref="F47:G47"/>
    <mergeCell ref="F45:G45"/>
    <mergeCell ref="G41:H41"/>
    <mergeCell ref="G42:H42"/>
    <mergeCell ref="C49:E49"/>
  </mergeCells>
  <printOptions horizontalCentered="1"/>
  <pageMargins left="0.19685039370078741" right="0.19685039370078741" top="0.15748031496062992" bottom="0.23622047244094491" header="0.16" footer="0.24"/>
  <pageSetup paperSize="9"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R72"/>
  <sheetViews>
    <sheetView topLeftCell="A29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5703125" style="3" customWidth="1"/>
    <col min="4" max="4" width="9.28515625" style="3" customWidth="1"/>
    <col min="5" max="5" width="9.42578125" style="3" customWidth="1"/>
    <col min="6" max="6" width="10.42578125" style="1" customWidth="1"/>
    <col min="7" max="7" width="10.28515625" style="1" customWidth="1"/>
    <col min="8" max="8" width="11" style="1" customWidth="1"/>
    <col min="9" max="9" width="16.7109375" style="1" customWidth="1"/>
    <col min="10" max="10" width="16.140625" style="1" customWidth="1"/>
    <col min="11" max="11" width="9.140625" style="1"/>
    <col min="12" max="12" width="9.140625" style="81"/>
    <col min="13" max="13" width="14.140625" style="188" customWidth="1"/>
    <col min="14" max="14" width="14.85546875" style="188" customWidth="1"/>
    <col min="15" max="18" width="9.140625" style="81"/>
    <col min="19" max="16384" width="9.140625" style="1"/>
  </cols>
  <sheetData>
    <row r="1" spans="2:10">
      <c r="B1" s="253" t="s">
        <v>119</v>
      </c>
      <c r="C1" s="253"/>
      <c r="D1" s="253"/>
      <c r="E1" s="253"/>
      <c r="F1" s="253"/>
      <c r="G1" s="253"/>
      <c r="H1" s="253"/>
    </row>
    <row r="2" spans="2:10">
      <c r="B2" s="253" t="s">
        <v>120</v>
      </c>
      <c r="C2" s="253"/>
      <c r="D2" s="253"/>
      <c r="E2" s="253"/>
      <c r="F2" s="253"/>
      <c r="G2" s="253"/>
      <c r="H2" s="253"/>
    </row>
    <row r="3" spans="2:10">
      <c r="B3" s="253" t="s">
        <v>169</v>
      </c>
      <c r="C3" s="253"/>
      <c r="D3" s="253"/>
      <c r="E3" s="253"/>
      <c r="F3" s="253"/>
      <c r="G3" s="253"/>
      <c r="H3" s="253"/>
    </row>
    <row r="4" spans="2:10">
      <c r="B4" s="253" t="s">
        <v>179</v>
      </c>
      <c r="C4" s="253"/>
      <c r="D4" s="253"/>
      <c r="E4" s="253"/>
      <c r="F4" s="253"/>
      <c r="G4" s="253"/>
      <c r="H4" s="253"/>
    </row>
    <row r="5" spans="2:10" ht="19.5" customHeight="1">
      <c r="B5" s="254" t="s">
        <v>180</v>
      </c>
      <c r="C5" s="254"/>
      <c r="D5" s="254"/>
      <c r="E5" s="254"/>
      <c r="F5" s="254"/>
      <c r="G5" s="254"/>
      <c r="H5" s="254"/>
      <c r="I5" s="221"/>
      <c r="J5" s="221"/>
    </row>
    <row r="6" spans="2:10" ht="20.25" customHeight="1">
      <c r="B6" s="254"/>
      <c r="C6" s="254"/>
      <c r="D6" s="254"/>
      <c r="E6" s="254"/>
      <c r="F6" s="254"/>
      <c r="G6" s="254"/>
      <c r="H6" s="254"/>
      <c r="I6" s="221"/>
      <c r="J6" s="221"/>
    </row>
    <row r="7" spans="2:10" ht="8.25" customHeight="1"/>
    <row r="8" spans="2:10">
      <c r="B8" s="169" t="s">
        <v>0</v>
      </c>
      <c r="C8" s="178"/>
      <c r="D8" s="261" t="s">
        <v>68</v>
      </c>
      <c r="E8" s="261"/>
    </row>
    <row r="9" spans="2:10">
      <c r="B9" s="169" t="s">
        <v>1</v>
      </c>
      <c r="C9" s="178"/>
      <c r="D9" s="213">
        <v>1971</v>
      </c>
      <c r="E9" s="213"/>
    </row>
    <row r="10" spans="2:10" ht="15.75" hidden="1" customHeight="1" outlineLevel="1">
      <c r="B10" s="169" t="s">
        <v>2</v>
      </c>
      <c r="C10" s="178"/>
      <c r="D10" s="213">
        <v>4</v>
      </c>
      <c r="E10" s="213"/>
    </row>
    <row r="11" spans="2:10" ht="15.75" hidden="1" customHeight="1" outlineLevel="1">
      <c r="B11" s="169" t="s">
        <v>3</v>
      </c>
      <c r="C11" s="178"/>
      <c r="D11" s="213">
        <v>33</v>
      </c>
      <c r="E11" s="213"/>
    </row>
    <row r="12" spans="2:10" ht="30.75" hidden="1" customHeight="1" outlineLevel="1">
      <c r="B12" s="171" t="s">
        <v>4</v>
      </c>
      <c r="C12" s="179"/>
      <c r="D12" s="213" t="s">
        <v>69</v>
      </c>
      <c r="E12" s="213"/>
    </row>
    <row r="13" spans="2:10" collapsed="1">
      <c r="B13" s="169" t="s">
        <v>5</v>
      </c>
      <c r="C13" s="178"/>
      <c r="D13" s="213" t="s">
        <v>129</v>
      </c>
      <c r="E13" s="213"/>
    </row>
    <row r="14" spans="2:10" ht="15.75" hidden="1" customHeight="1" outlineLevel="1">
      <c r="B14" s="1" t="s">
        <v>6</v>
      </c>
      <c r="D14" s="162" t="s">
        <v>70</v>
      </c>
      <c r="E14" s="162"/>
    </row>
    <row r="15" spans="2:10" ht="30.75" hidden="1" customHeight="1" outlineLevel="1">
      <c r="B15" s="16" t="s">
        <v>8</v>
      </c>
      <c r="C15" s="74"/>
      <c r="D15" s="214" t="s">
        <v>71</v>
      </c>
      <c r="E15" s="162"/>
    </row>
    <row r="16" spans="2:10" ht="16.5" collapsed="1" thickBot="1">
      <c r="B16" s="240" t="s">
        <v>177</v>
      </c>
      <c r="C16" s="240"/>
      <c r="D16" s="240"/>
      <c r="E16" s="240"/>
      <c r="F16" s="240"/>
      <c r="G16" s="240"/>
      <c r="H16" s="240"/>
    </row>
    <row r="17" spans="2:14" ht="41.2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</row>
    <row r="18" spans="2:14">
      <c r="B18" s="156" t="s">
        <v>11</v>
      </c>
      <c r="C18" s="266">
        <v>2374155.04</v>
      </c>
      <c r="D18" s="279"/>
      <c r="E18" s="266">
        <v>1660903.02</v>
      </c>
      <c r="F18" s="279"/>
      <c r="G18" s="266">
        <v>713252.0199999999</v>
      </c>
      <c r="H18" s="285"/>
    </row>
    <row r="19" spans="2:14">
      <c r="B19" s="157" t="s">
        <v>12</v>
      </c>
      <c r="C19" s="230">
        <v>2279958.21</v>
      </c>
      <c r="D19" s="280"/>
      <c r="E19" s="230">
        <v>1595714.67</v>
      </c>
      <c r="F19" s="280"/>
      <c r="G19" s="230">
        <v>684243.54</v>
      </c>
      <c r="H19" s="293"/>
    </row>
    <row r="20" spans="2:14" ht="16.5" thickBot="1">
      <c r="B20" s="158" t="s">
        <v>88</v>
      </c>
      <c r="C20" s="269">
        <v>2355690.6565</v>
      </c>
      <c r="D20" s="276"/>
      <c r="E20" s="269">
        <v>1680337.6565</v>
      </c>
      <c r="F20" s="276"/>
      <c r="G20" s="269">
        <v>675353</v>
      </c>
      <c r="H20" s="292"/>
    </row>
    <row r="21" spans="2:14" ht="36.75" thickBot="1">
      <c r="B21" s="159" t="s">
        <v>146</v>
      </c>
      <c r="C21" s="234">
        <f>E21+G21</f>
        <v>-75732.446500000078</v>
      </c>
      <c r="D21" s="277"/>
      <c r="E21" s="245">
        <f>E19-E20</f>
        <v>-84622.986500000115</v>
      </c>
      <c r="F21" s="277"/>
      <c r="G21" s="245">
        <f>G19-G20</f>
        <v>8890.5400000000373</v>
      </c>
      <c r="H21" s="294"/>
    </row>
    <row r="22" spans="2:14">
      <c r="B22" s="16"/>
      <c r="C22" s="74"/>
      <c r="D22" s="214"/>
      <c r="E22" s="162"/>
    </row>
    <row r="23" spans="2:14" ht="35.25" customHeight="1" thickBot="1">
      <c r="B23" s="263" t="s">
        <v>181</v>
      </c>
      <c r="C23" s="263"/>
      <c r="D23" s="263"/>
      <c r="E23" s="263"/>
      <c r="F23" s="263"/>
      <c r="G23" s="263"/>
      <c r="H23" s="263"/>
      <c r="I23" s="145"/>
      <c r="J23" s="145"/>
      <c r="L23" s="87"/>
      <c r="M23" s="224" t="s">
        <v>148</v>
      </c>
      <c r="N23" s="224" t="s">
        <v>149</v>
      </c>
    </row>
    <row r="24" spans="2:14" ht="37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I24" s="146"/>
      <c r="J24" s="146"/>
      <c r="L24" s="87"/>
      <c r="M24" s="303"/>
      <c r="N24" s="303"/>
    </row>
    <row r="25" spans="2:14" ht="41.2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46"/>
      <c r="J25" s="146"/>
      <c r="M25" s="189">
        <v>177519.09</v>
      </c>
      <c r="N25" s="189">
        <f>M25*1.05</f>
        <v>186395.04450000002</v>
      </c>
    </row>
    <row r="26" spans="2:14" ht="38.25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18760.741316051848</v>
      </c>
      <c r="G26" s="25">
        <f>$N$25/$N$26*E26</f>
        <v>19698.778381854441</v>
      </c>
      <c r="H26" s="26">
        <f>F26-G26</f>
        <v>-938.03706580259313</v>
      </c>
      <c r="I26" s="147"/>
      <c r="J26" s="147"/>
      <c r="K26" s="209"/>
      <c r="L26" s="97"/>
      <c r="M26" s="191">
        <f>E35-E33</f>
        <v>10.029999999999999</v>
      </c>
      <c r="N26" s="191">
        <f>E35-E33</f>
        <v>10.029999999999999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21061.586949152541</v>
      </c>
      <c r="G27" s="25">
        <f t="shared" ref="G27:G28" si="1">$N$25/$N$26*E27</f>
        <v>22114.666296610172</v>
      </c>
      <c r="H27" s="26">
        <f t="shared" ref="H27:H32" si="2">F27-G27</f>
        <v>-1053.0793474576312</v>
      </c>
      <c r="I27" s="147"/>
      <c r="J27" s="147"/>
      <c r="K27" s="2"/>
      <c r="L27" s="101"/>
      <c r="M27" s="192"/>
      <c r="N27" s="192"/>
    </row>
    <row r="28" spans="2:14" ht="27.7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5663.6200199401801</v>
      </c>
      <c r="G28" s="25">
        <f t="shared" si="1"/>
        <v>5946.8010209371896</v>
      </c>
      <c r="H28" s="26">
        <f t="shared" si="2"/>
        <v>-283.18100099700951</v>
      </c>
      <c r="I28" s="147"/>
      <c r="J28" s="147"/>
      <c r="L28" s="87"/>
    </row>
    <row r="29" spans="2:14" ht="25.5">
      <c r="B29" s="33" t="s">
        <v>84</v>
      </c>
      <c r="C29" s="35" t="s">
        <v>99</v>
      </c>
      <c r="D29" s="22" t="s">
        <v>98</v>
      </c>
      <c r="E29" s="30">
        <v>0.23</v>
      </c>
      <c r="F29" s="24">
        <f t="shared" si="0"/>
        <v>4070.7268893320042</v>
      </c>
      <c r="G29" s="25">
        <f t="shared" ref="G29:G31" si="3">$N$25/$N$26*E29</f>
        <v>4274.2632337986051</v>
      </c>
      <c r="H29" s="26">
        <f t="shared" si="2"/>
        <v>-203.53634446660089</v>
      </c>
      <c r="I29" s="147"/>
      <c r="J29" s="147"/>
      <c r="L29" s="87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20884.598823529413</v>
      </c>
      <c r="G30" s="25">
        <f t="shared" si="3"/>
        <v>21928.828764705886</v>
      </c>
      <c r="H30" s="26">
        <f t="shared" si="2"/>
        <v>-1044.2299411764725</v>
      </c>
      <c r="I30" s="147"/>
      <c r="J30" s="147"/>
    </row>
    <row r="31" spans="2:14" ht="220.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99290.338474576289</v>
      </c>
      <c r="G31" s="25">
        <f t="shared" si="3"/>
        <v>104254.85539830511</v>
      </c>
      <c r="H31" s="26">
        <f t="shared" si="2"/>
        <v>-4964.516923728821</v>
      </c>
      <c r="I31" s="147"/>
      <c r="J31" s="147"/>
      <c r="K31" s="2"/>
      <c r="L31" s="102"/>
      <c r="M31" s="192"/>
      <c r="N31" s="192"/>
    </row>
    <row r="32" spans="2:14" ht="104.2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4247.7150149551344</v>
      </c>
      <c r="G32" s="25">
        <f t="shared" ref="G32" si="4">$N$25/$N$26*E32</f>
        <v>4460.1007657028922</v>
      </c>
      <c r="H32" s="26">
        <f t="shared" si="2"/>
        <v>-212.38575074775781</v>
      </c>
      <c r="I32" s="147"/>
      <c r="J32" s="147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4.82</v>
      </c>
      <c r="F33" s="24">
        <v>85308.27</v>
      </c>
      <c r="G33" s="31">
        <v>149369</v>
      </c>
      <c r="H33" s="26">
        <f>F33-G33</f>
        <v>-64060.729999999996</v>
      </c>
      <c r="I33" s="147"/>
      <c r="J33" s="147"/>
      <c r="L33" s="87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0.2</v>
      </c>
      <c r="F34" s="24">
        <f t="shared" si="0"/>
        <v>3539.7625124626124</v>
      </c>
      <c r="G34" s="25">
        <f t="shared" ref="G34" si="5">$N$25/$N$26*E34</f>
        <v>3716.7506380857435</v>
      </c>
      <c r="H34" s="26">
        <f>F34-G34</f>
        <v>-176.98812562313105</v>
      </c>
      <c r="I34" s="147"/>
      <c r="J34" s="147"/>
    </row>
    <row r="35" spans="2:14" ht="16.5" thickBot="1">
      <c r="B35" s="40" t="s">
        <v>89</v>
      </c>
      <c r="C35" s="41"/>
      <c r="D35" s="41"/>
      <c r="E35" s="42">
        <f>SUM(E26:E34)</f>
        <v>14.85</v>
      </c>
      <c r="F35" s="43">
        <f>SUM(F26:F34)</f>
        <v>262827.36000000004</v>
      </c>
      <c r="G35" s="44">
        <f>SUM(G26:G34)</f>
        <v>335764.04450000008</v>
      </c>
      <c r="H35" s="45">
        <f>SUM(H26:H34)</f>
        <v>-72936.684500000018</v>
      </c>
      <c r="I35" s="148"/>
      <c r="J35" s="148"/>
    </row>
    <row r="36" spans="2:14">
      <c r="B36" s="5"/>
      <c r="C36" s="5"/>
      <c r="D36" s="5"/>
      <c r="E36" s="15"/>
      <c r="F36" s="15"/>
      <c r="G36" s="15"/>
      <c r="H36" s="3"/>
      <c r="I36" s="3"/>
      <c r="J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149"/>
      <c r="J37" s="149"/>
    </row>
    <row r="38" spans="2:14" ht="53.2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122"/>
      <c r="M38" s="193"/>
      <c r="N38" s="193"/>
    </row>
    <row r="39" spans="2:14" ht="21" customHeight="1">
      <c r="B39" s="156" t="s">
        <v>11</v>
      </c>
      <c r="C39" s="266">
        <f>E39+G39</f>
        <v>2636982.4</v>
      </c>
      <c r="D39" s="279"/>
      <c r="E39" s="266">
        <f>F26+F27+F28+F29+F30+F31+F32+F34+E18</f>
        <v>1838422.11</v>
      </c>
      <c r="F39" s="279"/>
      <c r="G39" s="266">
        <f>F33+G18</f>
        <v>798560.28999999992</v>
      </c>
      <c r="H39" s="285"/>
      <c r="I39" s="165"/>
      <c r="J39" s="166"/>
      <c r="K39" s="50"/>
      <c r="L39" s="125"/>
      <c r="M39" s="194"/>
    </row>
    <row r="40" spans="2:14">
      <c r="B40" s="157" t="s">
        <v>12</v>
      </c>
      <c r="C40" s="230">
        <f>E40+G40</f>
        <v>2562738.84</v>
      </c>
      <c r="D40" s="280"/>
      <c r="E40" s="230">
        <f>E19+190995.94</f>
        <v>1786710.6099999999</v>
      </c>
      <c r="F40" s="280"/>
      <c r="G40" s="230">
        <f>G19+91784.69</f>
        <v>776028.23</v>
      </c>
      <c r="H40" s="293"/>
      <c r="I40" s="165"/>
      <c r="J40" s="167"/>
      <c r="K40" s="52"/>
      <c r="L40" s="125"/>
      <c r="M40" s="194"/>
    </row>
    <row r="41" spans="2:14" ht="16.5" thickBot="1">
      <c r="B41" s="158" t="s">
        <v>88</v>
      </c>
      <c r="C41" s="269">
        <f>E41+G41</f>
        <v>2691454.7010000004</v>
      </c>
      <c r="D41" s="276"/>
      <c r="E41" s="269">
        <f>G26+G27+G28+G29+G30+G31+G32+G34+E20</f>
        <v>1866732.7010000001</v>
      </c>
      <c r="F41" s="276"/>
      <c r="G41" s="269">
        <f>G33+G20</f>
        <v>824722</v>
      </c>
      <c r="H41" s="292"/>
      <c r="I41" s="165"/>
      <c r="J41" s="49"/>
      <c r="K41" s="34"/>
      <c r="L41" s="104"/>
    </row>
    <row r="42" spans="2:14" ht="30.75" customHeight="1" thickBot="1">
      <c r="B42" s="159" t="s">
        <v>147</v>
      </c>
      <c r="C42" s="234">
        <f>E42+G42</f>
        <v>-128715.86100000027</v>
      </c>
      <c r="D42" s="277"/>
      <c r="E42" s="245">
        <f>E40-E41</f>
        <v>-80022.091000000248</v>
      </c>
      <c r="F42" s="277"/>
      <c r="G42" s="245">
        <f>G40-G41</f>
        <v>-48693.770000000019</v>
      </c>
      <c r="H42" s="294"/>
      <c r="I42" s="168"/>
      <c r="J42" s="153"/>
      <c r="K42" s="34"/>
      <c r="L42" s="104"/>
    </row>
    <row r="43" spans="2:14" ht="15" customHeight="1">
      <c r="B43" s="79"/>
      <c r="C43" s="151"/>
      <c r="D43" s="151"/>
      <c r="E43" s="153"/>
      <c r="F43" s="153"/>
      <c r="G43" s="153"/>
      <c r="H43" s="153"/>
      <c r="I43" s="211"/>
      <c r="J43" s="211"/>
      <c r="K43" s="2"/>
      <c r="L43" s="101"/>
      <c r="M43" s="192"/>
      <c r="N43" s="192"/>
    </row>
    <row r="44" spans="2:14" ht="16.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212"/>
      <c r="J44" s="212"/>
      <c r="K44" s="2"/>
      <c r="L44" s="101"/>
      <c r="M44" s="192"/>
      <c r="N44" s="192"/>
    </row>
    <row r="45" spans="2:14" ht="9.75" customHeight="1">
      <c r="B45" s="53"/>
      <c r="C45" s="54"/>
      <c r="D45" s="54"/>
      <c r="E45" s="222"/>
      <c r="F45" s="250"/>
      <c r="G45" s="250"/>
      <c r="H45" s="53"/>
      <c r="I45" s="211"/>
      <c r="J45" s="211"/>
      <c r="K45" s="2"/>
      <c r="L45" s="101"/>
      <c r="M45" s="192"/>
      <c r="N45" s="192"/>
    </row>
    <row r="46" spans="2:14" ht="1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211"/>
      <c r="J46" s="211"/>
    </row>
    <row r="47" spans="2:14" ht="8.25" customHeight="1">
      <c r="B47" s="53"/>
      <c r="C47" s="54"/>
      <c r="D47" s="54"/>
      <c r="E47" s="222"/>
      <c r="F47" s="249"/>
      <c r="G47" s="249"/>
      <c r="H47" s="53"/>
      <c r="I47" s="211"/>
      <c r="J47" s="211"/>
    </row>
    <row r="48" spans="2:14" ht="14.2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57"/>
      <c r="J48" s="57"/>
    </row>
    <row r="49" spans="2:8" ht="9" customHeight="1">
      <c r="B49" s="55"/>
      <c r="C49" s="56"/>
      <c r="D49" s="56"/>
      <c r="E49" s="222"/>
      <c r="F49" s="203"/>
      <c r="G49" s="55"/>
      <c r="H49" s="57"/>
    </row>
    <row r="50" spans="2:8" ht="1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</row>
    <row r="51" spans="2:8">
      <c r="B51" s="9"/>
      <c r="C51" s="70"/>
      <c r="D51" s="71"/>
      <c r="E51" s="222"/>
      <c r="F51" s="9"/>
      <c r="G51" s="9"/>
    </row>
    <row r="52" spans="2:8">
      <c r="C52" s="15"/>
    </row>
    <row r="53" spans="2:8">
      <c r="C53" s="15"/>
    </row>
    <row r="54" spans="2:8">
      <c r="C54" s="15"/>
    </row>
    <row r="55" spans="2:8">
      <c r="C55" s="15"/>
    </row>
    <row r="56" spans="2:8">
      <c r="C56" s="15"/>
    </row>
    <row r="57" spans="2:8">
      <c r="C57" s="15"/>
    </row>
    <row r="58" spans="2:8">
      <c r="C58" s="15"/>
    </row>
    <row r="59" spans="2:8">
      <c r="C59" s="15"/>
    </row>
    <row r="60" spans="2:8">
      <c r="C60" s="15"/>
    </row>
    <row r="61" spans="2:8">
      <c r="C61" s="15"/>
    </row>
    <row r="62" spans="2:8">
      <c r="C62" s="15"/>
    </row>
    <row r="63" spans="2:8">
      <c r="C63" s="15"/>
    </row>
    <row r="64" spans="2:8">
      <c r="C64" s="15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</sheetData>
  <mergeCells count="57">
    <mergeCell ref="B2:H2"/>
    <mergeCell ref="F50:G50"/>
    <mergeCell ref="G41:H41"/>
    <mergeCell ref="B1:H1"/>
    <mergeCell ref="B5:H6"/>
    <mergeCell ref="D24:D25"/>
    <mergeCell ref="E24:E25"/>
    <mergeCell ref="F24:G24"/>
    <mergeCell ref="H24:H25"/>
    <mergeCell ref="G38:H38"/>
    <mergeCell ref="G39:H39"/>
    <mergeCell ref="G40:H40"/>
    <mergeCell ref="D8:E8"/>
    <mergeCell ref="B37:H37"/>
    <mergeCell ref="B23:H23"/>
    <mergeCell ref="B24:B25"/>
    <mergeCell ref="B3:H3"/>
    <mergeCell ref="B4:H4"/>
    <mergeCell ref="E41:F41"/>
    <mergeCell ref="F47:G47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50:E50"/>
    <mergeCell ref="E42:F42"/>
    <mergeCell ref="F46:G46"/>
    <mergeCell ref="G42:H42"/>
    <mergeCell ref="F44:G44"/>
    <mergeCell ref="F45:G45"/>
    <mergeCell ref="F48:G48"/>
    <mergeCell ref="C41:D41"/>
    <mergeCell ref="C42:D42"/>
    <mergeCell ref="C44:E44"/>
    <mergeCell ref="C46:E46"/>
    <mergeCell ref="C48:E48"/>
    <mergeCell ref="M23:M24"/>
    <mergeCell ref="N23:N24"/>
    <mergeCell ref="C38:D38"/>
    <mergeCell ref="C39:D39"/>
    <mergeCell ref="C40:D40"/>
    <mergeCell ref="E40:F40"/>
    <mergeCell ref="E38:F38"/>
    <mergeCell ref="E39:F39"/>
    <mergeCell ref="C24:C25"/>
  </mergeCells>
  <printOptions horizontalCentered="1"/>
  <pageMargins left="0.19685039370078741" right="0.19685039370078741" top="0.15748031496062992" bottom="0.23622047244094491" header="0.31496062992125984" footer="0.25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2"/>
  <sheetViews>
    <sheetView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28515625" style="61" customWidth="1"/>
    <col min="4" max="4" width="8.85546875" style="3" customWidth="1"/>
    <col min="5" max="5" width="9.85546875" style="3" customWidth="1"/>
    <col min="6" max="6" width="10.42578125" style="1" customWidth="1"/>
    <col min="7" max="8" width="10.28515625" style="1" customWidth="1"/>
    <col min="9" max="9" width="16.42578125" style="1" customWidth="1"/>
    <col min="10" max="10" width="14.7109375" style="1" customWidth="1"/>
    <col min="11" max="12" width="9.140625" style="1"/>
    <col min="13" max="13" width="18" style="188" customWidth="1"/>
    <col min="14" max="14" width="21.5703125" style="188" customWidth="1"/>
    <col min="15" max="15" width="11.42578125" style="1" customWidth="1"/>
    <col min="16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153</v>
      </c>
      <c r="C3" s="253"/>
      <c r="D3" s="253"/>
      <c r="E3" s="253"/>
      <c r="F3" s="253"/>
      <c r="G3" s="253"/>
      <c r="H3" s="253"/>
    </row>
    <row r="4" spans="1:9">
      <c r="B4" s="253" t="s">
        <v>179</v>
      </c>
      <c r="C4" s="253"/>
      <c r="D4" s="253"/>
      <c r="E4" s="253"/>
      <c r="F4" s="253"/>
      <c r="G4" s="253"/>
      <c r="H4" s="253"/>
    </row>
    <row r="5" spans="1:9" ht="15.75" customHeight="1">
      <c r="A5" s="14"/>
      <c r="B5" s="254" t="s">
        <v>180</v>
      </c>
      <c r="C5" s="254"/>
      <c r="D5" s="254"/>
      <c r="E5" s="254"/>
      <c r="F5" s="254"/>
      <c r="G5" s="254"/>
      <c r="H5" s="254"/>
    </row>
    <row r="6" spans="1:9" ht="24" customHeight="1">
      <c r="A6" s="14"/>
      <c r="B6" s="254"/>
      <c r="C6" s="254"/>
      <c r="D6" s="254"/>
      <c r="E6" s="254"/>
      <c r="F6" s="254"/>
      <c r="G6" s="254"/>
      <c r="H6" s="254"/>
    </row>
    <row r="7" spans="1:9" ht="7.5" customHeight="1"/>
    <row r="8" spans="1:9" ht="12" customHeight="1">
      <c r="B8" s="169" t="s">
        <v>0</v>
      </c>
      <c r="C8" s="173"/>
      <c r="D8" s="261" t="s">
        <v>16</v>
      </c>
      <c r="E8" s="261"/>
      <c r="F8" s="169"/>
    </row>
    <row r="9" spans="1:9" ht="15.75" customHeight="1">
      <c r="B9" s="169" t="s">
        <v>1</v>
      </c>
      <c r="C9" s="173"/>
      <c r="D9" s="213">
        <v>1971</v>
      </c>
      <c r="E9" s="213"/>
      <c r="F9" s="169"/>
    </row>
    <row r="10" spans="1:9" hidden="1" outlineLevel="1">
      <c r="B10" s="169" t="s">
        <v>2</v>
      </c>
      <c r="C10" s="173"/>
      <c r="D10" s="213">
        <v>4</v>
      </c>
      <c r="E10" s="213"/>
      <c r="F10" s="169"/>
    </row>
    <row r="11" spans="1:9" hidden="1" outlineLevel="1">
      <c r="B11" s="169" t="s">
        <v>3</v>
      </c>
      <c r="C11" s="173"/>
      <c r="D11" s="213">
        <v>64</v>
      </c>
      <c r="E11" s="213"/>
      <c r="F11" s="169"/>
    </row>
    <row r="12" spans="1:9" ht="30.75" hidden="1" customHeight="1" outlineLevel="1">
      <c r="B12" s="171" t="s">
        <v>4</v>
      </c>
      <c r="C12" s="174"/>
      <c r="D12" s="213" t="s">
        <v>17</v>
      </c>
      <c r="E12" s="213"/>
      <c r="F12" s="169"/>
    </row>
    <row r="13" spans="1:9" collapsed="1">
      <c r="B13" s="169" t="s">
        <v>5</v>
      </c>
      <c r="C13" s="173"/>
      <c r="D13" s="213" t="s">
        <v>124</v>
      </c>
      <c r="E13" s="213"/>
      <c r="F13" s="169"/>
      <c r="I13" s="5"/>
    </row>
    <row r="14" spans="1:9" hidden="1" outlineLevel="1">
      <c r="B14" s="1" t="s">
        <v>6</v>
      </c>
      <c r="D14" s="162" t="s">
        <v>7</v>
      </c>
      <c r="E14" s="162"/>
    </row>
    <row r="15" spans="1:9" ht="30.75" hidden="1" customHeight="1" outlineLevel="1">
      <c r="B15" s="16" t="s">
        <v>8</v>
      </c>
      <c r="C15" s="62"/>
      <c r="D15" s="214" t="s">
        <v>18</v>
      </c>
      <c r="E15" s="162"/>
      <c r="I15" s="5"/>
    </row>
    <row r="16" spans="1:9" ht="18" customHeight="1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4.2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 ht="18" customHeight="1">
      <c r="B18" s="156" t="s">
        <v>11</v>
      </c>
      <c r="C18" s="266">
        <v>4016447.66</v>
      </c>
      <c r="D18" s="267"/>
      <c r="E18" s="228">
        <v>2907372.81</v>
      </c>
      <c r="F18" s="229"/>
      <c r="G18" s="228">
        <v>1109074.8500000001</v>
      </c>
      <c r="H18" s="244"/>
      <c r="I18" s="5"/>
    </row>
    <row r="19" spans="2:14" ht="18" customHeight="1">
      <c r="B19" s="157" t="s">
        <v>12</v>
      </c>
      <c r="C19" s="230">
        <v>3829317.12</v>
      </c>
      <c r="D19" s="268"/>
      <c r="E19" s="230">
        <v>2768938.56</v>
      </c>
      <c r="F19" s="231"/>
      <c r="G19" s="230">
        <v>1060378.5599999998</v>
      </c>
      <c r="H19" s="241"/>
      <c r="I19" s="5"/>
    </row>
    <row r="20" spans="2:14" ht="18" customHeight="1" thickBot="1">
      <c r="B20" s="158" t="s">
        <v>88</v>
      </c>
      <c r="C20" s="269">
        <v>3807957.2637</v>
      </c>
      <c r="D20" s="270"/>
      <c r="E20" s="232">
        <v>2934563.2637</v>
      </c>
      <c r="F20" s="233"/>
      <c r="G20" s="232">
        <v>873394</v>
      </c>
      <c r="H20" s="242"/>
      <c r="I20" s="5"/>
    </row>
    <row r="21" spans="2:14" ht="32.25" customHeight="1" thickBot="1">
      <c r="B21" s="159" t="s">
        <v>146</v>
      </c>
      <c r="C21" s="234">
        <f>E21+G21</f>
        <v>21359.856299999868</v>
      </c>
      <c r="D21" s="235"/>
      <c r="E21" s="245">
        <f>E19-E20</f>
        <v>-165624.70369999995</v>
      </c>
      <c r="F21" s="246"/>
      <c r="G21" s="245">
        <f>G19-G20</f>
        <v>186984.55999999982</v>
      </c>
      <c r="H21" s="247"/>
      <c r="I21" s="5"/>
    </row>
    <row r="22" spans="2:14" ht="13.5" customHeight="1">
      <c r="B22" s="16"/>
      <c r="C22" s="62"/>
      <c r="D22" s="214"/>
      <c r="E22" s="162"/>
      <c r="I22" s="5"/>
    </row>
    <row r="23" spans="2:14" ht="29.2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6.7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42.7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314107.75</v>
      </c>
      <c r="N25" s="191">
        <f>M25*1.05</f>
        <v>329813.13750000001</v>
      </c>
    </row>
    <row r="26" spans="2:14" s="209" customFormat="1" ht="43.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 t="shared" ref="F26:F31" si="0">$M$25/$M$26*E26</f>
        <v>32738.860865290069</v>
      </c>
      <c r="G26" s="25">
        <f t="shared" ref="G26:G31" si="1">$N$25/$N$26*E26</f>
        <v>34375.803908554575</v>
      </c>
      <c r="H26" s="26">
        <f>F26-G26</f>
        <v>-1636.9430432645058</v>
      </c>
      <c r="I26" s="27"/>
      <c r="L26" s="28"/>
      <c r="M26" s="191">
        <f>E35-E33</f>
        <v>10.17</v>
      </c>
      <c r="N26" s="191">
        <f>E35-E33</f>
        <v>10.17</v>
      </c>
    </row>
    <row r="27" spans="2:14" s="2" customFormat="1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si="0"/>
        <v>36754.004178957715</v>
      </c>
      <c r="G27" s="25">
        <f t="shared" si="1"/>
        <v>38591.704387905607</v>
      </c>
      <c r="H27" s="26">
        <f t="shared" ref="H27:H32" si="2">F27-G27</f>
        <v>-1837.700208947892</v>
      </c>
      <c r="I27" s="32"/>
      <c r="M27" s="192"/>
      <c r="N27" s="192"/>
    </row>
    <row r="28" spans="2:14" ht="30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9883.4296951819069</v>
      </c>
      <c r="G28" s="25">
        <f t="shared" si="1"/>
        <v>10377.601179941003</v>
      </c>
      <c r="H28" s="26">
        <f t="shared" si="2"/>
        <v>-494.17148475909562</v>
      </c>
      <c r="I28" s="34"/>
      <c r="L28" s="5"/>
    </row>
    <row r="29" spans="2:14" ht="29.25" customHeight="1">
      <c r="B29" s="33" t="s">
        <v>84</v>
      </c>
      <c r="C29" s="35" t="s">
        <v>99</v>
      </c>
      <c r="D29" s="22" t="s">
        <v>98</v>
      </c>
      <c r="E29" s="30">
        <v>0.25</v>
      </c>
      <c r="F29" s="24">
        <f t="shared" si="0"/>
        <v>7721.429449360865</v>
      </c>
      <c r="G29" s="25">
        <f t="shared" si="1"/>
        <v>8107.5009218289088</v>
      </c>
      <c r="H29" s="26">
        <f t="shared" si="2"/>
        <v>-386.07147246804379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36445.147000983277</v>
      </c>
      <c r="G30" s="25">
        <f t="shared" si="1"/>
        <v>38267.404351032448</v>
      </c>
      <c r="H30" s="26">
        <f t="shared" si="2"/>
        <v>-1822.2573500491708</v>
      </c>
      <c r="I30" s="34"/>
    </row>
    <row r="31" spans="2:14" ht="213.7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173268.87684365781</v>
      </c>
      <c r="G31" s="25">
        <f t="shared" si="1"/>
        <v>181932.32068584074</v>
      </c>
      <c r="H31" s="26">
        <f t="shared" si="2"/>
        <v>-8663.4438421829254</v>
      </c>
      <c r="I31" s="32"/>
      <c r="J31" s="2"/>
      <c r="K31" s="2"/>
      <c r="L31" s="4"/>
      <c r="M31" s="192"/>
      <c r="N31" s="192"/>
    </row>
    <row r="32" spans="2:14" ht="107.4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>$M$25/$M$26*E32</f>
        <v>7412.5722713864297</v>
      </c>
      <c r="G32" s="25">
        <f>$N$25/$N$26*E32</f>
        <v>7783.2008849557524</v>
      </c>
      <c r="H32" s="26">
        <f t="shared" si="2"/>
        <v>-370.62861356932262</v>
      </c>
      <c r="I32" s="34"/>
    </row>
    <row r="33" spans="2:14" ht="36">
      <c r="B33" s="33" t="s">
        <v>91</v>
      </c>
      <c r="C33" s="21" t="s">
        <v>97</v>
      </c>
      <c r="D33" s="22" t="s">
        <v>98</v>
      </c>
      <c r="E33" s="30">
        <v>5.08</v>
      </c>
      <c r="F33" s="24">
        <v>156899.45000000001</v>
      </c>
      <c r="G33" s="31">
        <v>96704</v>
      </c>
      <c r="H33" s="26">
        <f>F33-G33</f>
        <v>60195.450000000012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0.32</v>
      </c>
      <c r="F34" s="24">
        <f>$M$25/$M$26*E34</f>
        <v>9883.4296951819069</v>
      </c>
      <c r="G34" s="25">
        <f>$N$25/$N$26*E34</f>
        <v>10377.601179941003</v>
      </c>
      <c r="H34" s="26">
        <f>F34-G34</f>
        <v>-494.17148475909562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15.25</v>
      </c>
      <c r="F35" s="43">
        <f>SUM(F26:F34)</f>
        <v>471007.2</v>
      </c>
      <c r="G35" s="44">
        <f>SUM(G26:G34)</f>
        <v>426517.13750000001</v>
      </c>
      <c r="H35" s="45">
        <f>SUM(H26:H34)</f>
        <v>44490.062499999956</v>
      </c>
      <c r="I35" s="66"/>
    </row>
    <row r="36" spans="2:14" s="3" customFormat="1" ht="11.25" customHeight="1">
      <c r="B36" s="5"/>
      <c r="C36" s="5"/>
      <c r="D36" s="5"/>
      <c r="E36" s="15"/>
      <c r="I36" s="1"/>
      <c r="J36" s="1"/>
      <c r="K36" s="1"/>
      <c r="L36" s="1"/>
      <c r="M36" s="188"/>
      <c r="N36" s="188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2.7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4487454.8600000003</v>
      </c>
      <c r="D39" s="229"/>
      <c r="E39" s="228">
        <f>F26+F27+F28+F29+F30+F31+F32+F34+E18</f>
        <v>3221480.56</v>
      </c>
      <c r="F39" s="229"/>
      <c r="G39" s="228">
        <f>F33+G18</f>
        <v>1265974.3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4276383.28</v>
      </c>
      <c r="D40" s="231"/>
      <c r="E40" s="230">
        <f>E19+298141.83</f>
        <v>3067080.39</v>
      </c>
      <c r="F40" s="231"/>
      <c r="G40" s="230">
        <f>G19+148924.33</f>
        <v>1209302.8899999999</v>
      </c>
      <c r="H40" s="241"/>
      <c r="I40" s="165"/>
      <c r="J40" s="167"/>
      <c r="K40" s="52"/>
      <c r="L40" s="50"/>
      <c r="M40" s="194"/>
    </row>
    <row r="41" spans="2:14" ht="15.75" customHeight="1" thickBot="1">
      <c r="B41" s="158" t="s">
        <v>88</v>
      </c>
      <c r="C41" s="232">
        <f>E41+G41</f>
        <v>4234474.4012000002</v>
      </c>
      <c r="D41" s="233"/>
      <c r="E41" s="232">
        <f>G26+G27+G28+G29+G30+G31+G32+G34+E20</f>
        <v>3264376.4012000002</v>
      </c>
      <c r="F41" s="233"/>
      <c r="G41" s="232">
        <f>G33+G20</f>
        <v>970098</v>
      </c>
      <c r="H41" s="242"/>
      <c r="I41" s="165"/>
      <c r="J41" s="49"/>
      <c r="K41" s="34"/>
      <c r="L41" s="34"/>
    </row>
    <row r="42" spans="2:14" ht="26.25" customHeight="1" thickBot="1">
      <c r="B42" s="159" t="s">
        <v>147</v>
      </c>
      <c r="C42" s="234">
        <f>E42+G42</f>
        <v>41908.878799999831</v>
      </c>
      <c r="D42" s="235"/>
      <c r="E42" s="245">
        <f>E40-E41</f>
        <v>-197296.01120000007</v>
      </c>
      <c r="F42" s="246"/>
      <c r="G42" s="251">
        <f>G40-G41</f>
        <v>239204.8899999999</v>
      </c>
      <c r="H42" s="252"/>
      <c r="I42" s="168"/>
      <c r="J42" s="153"/>
      <c r="K42" s="34"/>
      <c r="L42" s="34"/>
    </row>
    <row r="43" spans="2:14" s="2" customFormat="1" ht="12" customHeight="1">
      <c r="B43" s="79"/>
      <c r="C43" s="151"/>
      <c r="D43" s="151"/>
      <c r="E43" s="152"/>
      <c r="F43" s="153"/>
      <c r="G43" s="153"/>
      <c r="H43" s="153"/>
      <c r="I43" s="53"/>
      <c r="M43" s="192"/>
      <c r="N43" s="192"/>
    </row>
    <row r="44" spans="2:14" s="2" customFormat="1" ht="12.7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53"/>
      <c r="M44" s="192"/>
      <c r="N44" s="192"/>
    </row>
    <row r="45" spans="2:14" s="2" customFormat="1" ht="12" customHeight="1">
      <c r="B45" s="53"/>
      <c r="C45" s="54"/>
      <c r="D45" s="54"/>
      <c r="E45" s="222"/>
      <c r="F45" s="250"/>
      <c r="G45" s="250"/>
      <c r="H45" s="53"/>
      <c r="I45" s="53"/>
      <c r="M45" s="192"/>
      <c r="N45" s="192"/>
    </row>
    <row r="46" spans="2:14" ht="13.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9.75" customHeight="1">
      <c r="B47" s="53"/>
      <c r="C47" s="54"/>
      <c r="D47" s="54"/>
      <c r="E47" s="222"/>
      <c r="F47" s="249"/>
      <c r="G47" s="249"/>
      <c r="H47" s="53"/>
      <c r="I47" s="53"/>
    </row>
    <row r="48" spans="2:14" ht="17.2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10.5" customHeight="1">
      <c r="B49" s="55"/>
      <c r="C49" s="56"/>
      <c r="D49" s="56"/>
      <c r="E49" s="222"/>
      <c r="F49" s="203"/>
      <c r="G49" s="55"/>
      <c r="H49" s="57"/>
      <c r="I49" s="53"/>
    </row>
    <row r="50" spans="2:9" ht="14.2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3"/>
    </row>
    <row r="51" spans="2:9" ht="12" customHeight="1">
      <c r="C51" s="1"/>
      <c r="D51" s="1"/>
      <c r="E51" s="222"/>
      <c r="F51" s="248"/>
      <c r="G51" s="248"/>
      <c r="H51" s="3"/>
    </row>
    <row r="52" spans="2:9">
      <c r="C52" s="1"/>
      <c r="D52" s="1"/>
      <c r="E52" s="15"/>
      <c r="F52" s="3"/>
      <c r="G52" s="3"/>
      <c r="H52" s="3"/>
    </row>
  </sheetData>
  <mergeCells count="58">
    <mergeCell ref="D8:E8"/>
    <mergeCell ref="G39:H39"/>
    <mergeCell ref="E38:F38"/>
    <mergeCell ref="F44:G44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B1:H1"/>
    <mergeCell ref="E24:E25"/>
    <mergeCell ref="F24:G24"/>
    <mergeCell ref="H24:H25"/>
    <mergeCell ref="B2:H2"/>
    <mergeCell ref="B3:H3"/>
    <mergeCell ref="B4:H4"/>
    <mergeCell ref="B23:H23"/>
    <mergeCell ref="B24:B25"/>
    <mergeCell ref="C24:C25"/>
    <mergeCell ref="D24:D25"/>
    <mergeCell ref="B5:H6"/>
    <mergeCell ref="B16:H16"/>
    <mergeCell ref="C17:D17"/>
    <mergeCell ref="E17:F17"/>
    <mergeCell ref="G17:H17"/>
    <mergeCell ref="M23:M24"/>
    <mergeCell ref="N23:N24"/>
    <mergeCell ref="C48:E48"/>
    <mergeCell ref="F48:G48"/>
    <mergeCell ref="F45:G45"/>
    <mergeCell ref="G42:H42"/>
    <mergeCell ref="G38:H38"/>
    <mergeCell ref="C44:E44"/>
    <mergeCell ref="C46:E46"/>
    <mergeCell ref="G41:H41"/>
    <mergeCell ref="E39:F39"/>
    <mergeCell ref="B37:H37"/>
    <mergeCell ref="C50:E50"/>
    <mergeCell ref="F51:G51"/>
    <mergeCell ref="C38:D38"/>
    <mergeCell ref="C39:D39"/>
    <mergeCell ref="C40:D40"/>
    <mergeCell ref="C41:D41"/>
    <mergeCell ref="C42:D42"/>
    <mergeCell ref="E40:F40"/>
    <mergeCell ref="G40:H40"/>
    <mergeCell ref="F50:G50"/>
    <mergeCell ref="E41:F41"/>
    <mergeCell ref="E42:F42"/>
    <mergeCell ref="F47:G47"/>
    <mergeCell ref="F46:G46"/>
  </mergeCells>
  <printOptions horizontalCentered="1"/>
  <pageMargins left="0.19685039370078741" right="0.19685039370078741" top="0.15748031496062992" bottom="0.23622047244094491" header="0.15748031496062992" footer="0.23622047244094491"/>
  <pageSetup paperSize="9" scale="4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7"/>
  <sheetViews>
    <sheetView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28515625" style="133" customWidth="1"/>
    <col min="4" max="4" width="9.140625" style="3" customWidth="1"/>
    <col min="5" max="5" width="9.42578125" style="3" customWidth="1"/>
    <col min="6" max="6" width="10.140625" style="1" customWidth="1"/>
    <col min="7" max="7" width="10.42578125" style="1" customWidth="1"/>
    <col min="8" max="8" width="10.7109375" style="1" customWidth="1"/>
    <col min="9" max="9" width="15.5703125" style="1" customWidth="1"/>
    <col min="10" max="10" width="16.5703125" style="1" customWidth="1"/>
    <col min="11" max="12" width="9.140625" style="1"/>
    <col min="13" max="13" width="16.5703125" style="188" customWidth="1"/>
    <col min="14" max="14" width="16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170</v>
      </c>
      <c r="C3" s="253"/>
      <c r="D3" s="253"/>
      <c r="E3" s="253"/>
      <c r="F3" s="253"/>
      <c r="G3" s="253"/>
      <c r="H3" s="253"/>
    </row>
    <row r="4" spans="1:9">
      <c r="B4" s="253" t="s">
        <v>179</v>
      </c>
      <c r="C4" s="253"/>
      <c r="D4" s="253"/>
      <c r="E4" s="253"/>
      <c r="F4" s="253"/>
      <c r="G4" s="253"/>
      <c r="H4" s="253"/>
    </row>
    <row r="5" spans="1:9" ht="19.5" customHeight="1">
      <c r="A5" s="143"/>
      <c r="B5" s="254" t="s">
        <v>180</v>
      </c>
      <c r="C5" s="254"/>
      <c r="D5" s="254"/>
      <c r="E5" s="254"/>
      <c r="F5" s="254"/>
      <c r="G5" s="254"/>
      <c r="H5" s="254"/>
    </row>
    <row r="6" spans="1:9" ht="20.25" customHeight="1">
      <c r="A6" s="143"/>
      <c r="B6" s="254"/>
      <c r="C6" s="254"/>
      <c r="D6" s="254"/>
      <c r="E6" s="254"/>
      <c r="F6" s="254"/>
      <c r="G6" s="254"/>
      <c r="H6" s="254"/>
    </row>
    <row r="7" spans="1:9" ht="8.25" customHeight="1"/>
    <row r="8" spans="1:9">
      <c r="B8" s="169" t="s">
        <v>0</v>
      </c>
      <c r="C8" s="180"/>
      <c r="D8" s="261" t="s">
        <v>72</v>
      </c>
      <c r="E8" s="261"/>
    </row>
    <row r="9" spans="1:9">
      <c r="B9" s="169" t="s">
        <v>1</v>
      </c>
      <c r="C9" s="180"/>
      <c r="D9" s="213">
        <v>1969</v>
      </c>
      <c r="E9" s="213"/>
    </row>
    <row r="10" spans="1:9" hidden="1" outlineLevel="1">
      <c r="B10" s="169" t="s">
        <v>2</v>
      </c>
      <c r="C10" s="180"/>
      <c r="D10" s="213">
        <v>4</v>
      </c>
      <c r="E10" s="213"/>
    </row>
    <row r="11" spans="1:9" hidden="1" outlineLevel="1">
      <c r="B11" s="169" t="s">
        <v>3</v>
      </c>
      <c r="C11" s="180"/>
      <c r="D11" s="213">
        <v>63</v>
      </c>
      <c r="E11" s="213"/>
    </row>
    <row r="12" spans="1:9" ht="30.75" hidden="1" customHeight="1" outlineLevel="1">
      <c r="B12" s="171" t="s">
        <v>4</v>
      </c>
      <c r="C12" s="181"/>
      <c r="D12" s="213" t="s">
        <v>73</v>
      </c>
      <c r="E12" s="213"/>
    </row>
    <row r="13" spans="1:9" collapsed="1">
      <c r="B13" s="169" t="s">
        <v>5</v>
      </c>
      <c r="C13" s="180"/>
      <c r="D13" s="213" t="s">
        <v>115</v>
      </c>
      <c r="E13" s="213"/>
      <c r="I13" s="5"/>
    </row>
    <row r="14" spans="1:9" hidden="1" outlineLevel="1">
      <c r="B14" s="1" t="s">
        <v>6</v>
      </c>
      <c r="D14" s="162" t="s">
        <v>7</v>
      </c>
      <c r="E14" s="162"/>
    </row>
    <row r="15" spans="1:9" ht="30.75" hidden="1" customHeight="1" outlineLevel="1">
      <c r="B15" s="16" t="s">
        <v>8</v>
      </c>
      <c r="C15" s="134"/>
      <c r="D15" s="214" t="s">
        <v>15</v>
      </c>
      <c r="E15" s="162"/>
      <c r="I15" s="5"/>
    </row>
    <row r="16" spans="1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8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4164440.0200000005</v>
      </c>
      <c r="D18" s="267"/>
      <c r="E18" s="228">
        <v>2959871.39</v>
      </c>
      <c r="F18" s="229"/>
      <c r="G18" s="228">
        <v>1204568.6300000001</v>
      </c>
      <c r="H18" s="244"/>
      <c r="I18" s="5"/>
    </row>
    <row r="19" spans="2:14">
      <c r="B19" s="157" t="s">
        <v>12</v>
      </c>
      <c r="C19" s="230">
        <v>3762719.4899999998</v>
      </c>
      <c r="D19" s="268"/>
      <c r="E19" s="230">
        <v>2673315.4299999997</v>
      </c>
      <c r="F19" s="231"/>
      <c r="G19" s="230">
        <v>1089404.06</v>
      </c>
      <c r="H19" s="241"/>
      <c r="I19" s="5"/>
    </row>
    <row r="20" spans="2:14" ht="16.5" thickBot="1">
      <c r="B20" s="158" t="s">
        <v>88</v>
      </c>
      <c r="C20" s="269">
        <v>3849892.5812000004</v>
      </c>
      <c r="D20" s="270"/>
      <c r="E20" s="232">
        <v>2981539.5812000004</v>
      </c>
      <c r="F20" s="233"/>
      <c r="G20" s="232">
        <v>868353</v>
      </c>
      <c r="H20" s="242"/>
      <c r="I20" s="5"/>
    </row>
    <row r="21" spans="2:14" ht="29.25" customHeight="1" thickBot="1">
      <c r="B21" s="159" t="s">
        <v>146</v>
      </c>
      <c r="C21" s="234">
        <f>E21+G21</f>
        <v>-87173.091200000606</v>
      </c>
      <c r="D21" s="235"/>
      <c r="E21" s="245">
        <f>E19-E20</f>
        <v>-308224.15120000066</v>
      </c>
      <c r="F21" s="246"/>
      <c r="G21" s="245">
        <f>G19-G20</f>
        <v>221051.06000000006</v>
      </c>
      <c r="H21" s="247"/>
      <c r="I21" s="5"/>
    </row>
    <row r="22" spans="2:14">
      <c r="B22" s="16"/>
      <c r="C22" s="134"/>
      <c r="D22" s="214"/>
      <c r="E22" s="162"/>
      <c r="I22" s="5"/>
    </row>
    <row r="23" spans="2:14" ht="30.75" customHeight="1" thickBot="1">
      <c r="B23" s="263" t="s">
        <v>181</v>
      </c>
      <c r="C23" s="263"/>
      <c r="D23" s="263"/>
      <c r="E23" s="263"/>
      <c r="F23" s="263"/>
      <c r="G23" s="263"/>
      <c r="H23" s="263"/>
      <c r="I23" s="145"/>
      <c r="J23" s="145"/>
      <c r="L23" s="5"/>
      <c r="M23" s="224" t="s">
        <v>148</v>
      </c>
      <c r="N23" s="224" t="s">
        <v>149</v>
      </c>
    </row>
    <row r="24" spans="2:14" ht="34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I24" s="146"/>
      <c r="J24" s="146"/>
      <c r="L24" s="5"/>
      <c r="M24" s="225"/>
      <c r="N24" s="225"/>
    </row>
    <row r="25" spans="2:14" ht="42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46"/>
      <c r="J25" s="146"/>
      <c r="M25" s="189">
        <v>321349.14</v>
      </c>
      <c r="N25" s="189">
        <f>M25*1.05</f>
        <v>337416.59700000001</v>
      </c>
    </row>
    <row r="26" spans="2:14" ht="38.25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33395.106705882354</v>
      </c>
      <c r="G26" s="25">
        <f>$N$25/$N$26*E26</f>
        <v>35064.862041176471</v>
      </c>
      <c r="H26" s="26">
        <f>F26-G26</f>
        <v>-1669.7553352941177</v>
      </c>
      <c r="I26" s="147"/>
      <c r="J26" s="147"/>
      <c r="K26" s="209"/>
      <c r="L26" s="28"/>
      <c r="M26" s="191">
        <f>E35-E33</f>
        <v>10.200000000000001</v>
      </c>
      <c r="N26" s="191">
        <f>E35-E33</f>
        <v>10.200000000000001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37490.733</v>
      </c>
      <c r="G27" s="25">
        <f t="shared" ref="G27:G31" si="1">$N$25/$N$26*E27</f>
        <v>39365.269649999995</v>
      </c>
      <c r="H27" s="26">
        <f t="shared" ref="H27:H32" si="2">F27-G27</f>
        <v>-1874.5366499999946</v>
      </c>
      <c r="I27" s="147"/>
      <c r="J27" s="147"/>
      <c r="K27" s="2"/>
      <c r="L27" s="2"/>
      <c r="M27" s="192"/>
      <c r="N27" s="192"/>
    </row>
    <row r="28" spans="2:14" ht="36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10081.541647058822</v>
      </c>
      <c r="G28" s="25">
        <f t="shared" si="1"/>
        <v>10585.618729411764</v>
      </c>
      <c r="H28" s="26">
        <f t="shared" si="2"/>
        <v>-504.07708235294194</v>
      </c>
      <c r="I28" s="147"/>
      <c r="J28" s="147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0.2</v>
      </c>
      <c r="F29" s="24">
        <f t="shared" si="0"/>
        <v>6300.9635294117652</v>
      </c>
      <c r="G29" s="25">
        <f t="shared" si="1"/>
        <v>6616.0117058823525</v>
      </c>
      <c r="H29" s="26">
        <f t="shared" si="2"/>
        <v>-315.04817647058735</v>
      </c>
      <c r="I29" s="147"/>
      <c r="J29" s="147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37175.684823529409</v>
      </c>
      <c r="G30" s="25">
        <f t="shared" si="1"/>
        <v>39034.469064705881</v>
      </c>
      <c r="H30" s="26">
        <f t="shared" si="2"/>
        <v>-1858.7842411764723</v>
      </c>
      <c r="I30" s="147"/>
      <c r="J30" s="147"/>
    </row>
    <row r="31" spans="2:14" ht="213.7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176742.027</v>
      </c>
      <c r="G31" s="25">
        <f t="shared" si="1"/>
        <v>185579.12835000001</v>
      </c>
      <c r="H31" s="26">
        <f t="shared" si="2"/>
        <v>-8837.1013500000117</v>
      </c>
      <c r="I31" s="147"/>
      <c r="J31" s="147"/>
      <c r="K31" s="2"/>
      <c r="L31" s="4"/>
      <c r="M31" s="192"/>
      <c r="N31" s="192"/>
    </row>
    <row r="32" spans="2:14" ht="102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7561.1562352941173</v>
      </c>
      <c r="G32" s="25">
        <f t="shared" ref="G32" si="3">$N$25/$N$26*E32</f>
        <v>7939.2140470588229</v>
      </c>
      <c r="H32" s="26">
        <f t="shared" si="2"/>
        <v>-378.05781176470555</v>
      </c>
      <c r="I32" s="147"/>
      <c r="J32" s="147"/>
    </row>
    <row r="33" spans="2:14" ht="36">
      <c r="B33" s="33" t="s">
        <v>91</v>
      </c>
      <c r="C33" s="21" t="s">
        <v>97</v>
      </c>
      <c r="D33" s="22" t="s">
        <v>98</v>
      </c>
      <c r="E33" s="30">
        <v>4.5199999999999996</v>
      </c>
      <c r="F33" s="24">
        <v>142401.78</v>
      </c>
      <c r="G33" s="31">
        <v>227216</v>
      </c>
      <c r="H33" s="26">
        <f>F33-G33</f>
        <v>-84814.22</v>
      </c>
      <c r="I33" s="147"/>
      <c r="J33" s="147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0.4</v>
      </c>
      <c r="F34" s="24">
        <f t="shared" si="0"/>
        <v>12601.92705882353</v>
      </c>
      <c r="G34" s="25">
        <f t="shared" ref="G34" si="4">$N$25/$N$26*E34</f>
        <v>13232.023411764705</v>
      </c>
      <c r="H34" s="26">
        <f>F34-G34</f>
        <v>-630.0963529411747</v>
      </c>
      <c r="I34" s="147"/>
      <c r="J34" s="147"/>
    </row>
    <row r="35" spans="2:14" ht="16.5" thickBot="1">
      <c r="B35" s="40" t="s">
        <v>89</v>
      </c>
      <c r="C35" s="41"/>
      <c r="D35" s="41"/>
      <c r="E35" s="42">
        <f>SUM(E26:E34)</f>
        <v>14.72</v>
      </c>
      <c r="F35" s="43">
        <f>SUM(F26:F34)</f>
        <v>463750.92000000004</v>
      </c>
      <c r="G35" s="44">
        <f>SUM(G26:G34)</f>
        <v>564632.59700000007</v>
      </c>
      <c r="H35" s="45">
        <f>SUM(H26:H34)</f>
        <v>-100881.677</v>
      </c>
      <c r="I35" s="148"/>
      <c r="J35" s="148"/>
    </row>
    <row r="36" spans="2:14">
      <c r="B36" s="5"/>
      <c r="C36" s="5"/>
      <c r="D36" s="5"/>
      <c r="E36" s="15"/>
      <c r="F36" s="15"/>
      <c r="G36" s="15"/>
      <c r="H36" s="3"/>
      <c r="I36" s="3"/>
      <c r="J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149"/>
      <c r="J37" s="149"/>
    </row>
    <row r="38" spans="2:14" ht="40.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4628190.9400000004</v>
      </c>
      <c r="D39" s="229"/>
      <c r="E39" s="228">
        <f>F26+F27+F28+F29+F30+F31+F32+F34+E18</f>
        <v>3281220.5300000003</v>
      </c>
      <c r="F39" s="229"/>
      <c r="G39" s="228">
        <f>F33+G18</f>
        <v>1346970.4100000001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4173806.4799999995</v>
      </c>
      <c r="D40" s="231"/>
      <c r="E40" s="230">
        <f>E19+284856.47</f>
        <v>2958171.8999999994</v>
      </c>
      <c r="F40" s="231"/>
      <c r="G40" s="230">
        <f>G19+126230.52</f>
        <v>1215634.58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4414525.1782000009</v>
      </c>
      <c r="D41" s="233"/>
      <c r="E41" s="232">
        <f>G26+G27+G28+G29+G30+G31+G32+G34+E20</f>
        <v>3318956.1782000004</v>
      </c>
      <c r="F41" s="233"/>
      <c r="G41" s="232">
        <f>G33+G20</f>
        <v>1095569</v>
      </c>
      <c r="H41" s="242"/>
      <c r="I41" s="165"/>
      <c r="J41" s="49"/>
      <c r="K41" s="34"/>
      <c r="L41" s="34"/>
    </row>
    <row r="42" spans="2:14" ht="29.25" customHeight="1" thickBot="1">
      <c r="B42" s="159" t="s">
        <v>147</v>
      </c>
      <c r="C42" s="234">
        <f>E42+G42</f>
        <v>-240718.69820000092</v>
      </c>
      <c r="D42" s="235"/>
      <c r="E42" s="245">
        <f>E40-E41</f>
        <v>-360784.27820000099</v>
      </c>
      <c r="F42" s="246"/>
      <c r="G42" s="245">
        <f>G40-G41</f>
        <v>120065.58000000007</v>
      </c>
      <c r="H42" s="247"/>
      <c r="I42" s="168"/>
      <c r="J42" s="153"/>
      <c r="K42" s="34"/>
      <c r="L42" s="34"/>
    </row>
    <row r="43" spans="2:14" ht="15.75" customHeight="1">
      <c r="B43" s="79"/>
      <c r="C43" s="151"/>
      <c r="D43" s="151"/>
      <c r="E43" s="153"/>
      <c r="F43" s="153"/>
      <c r="G43" s="153"/>
      <c r="H43" s="153"/>
      <c r="I43" s="211"/>
      <c r="J43" s="211"/>
      <c r="K43" s="2"/>
      <c r="L43" s="2"/>
      <c r="M43" s="192"/>
      <c r="N43" s="192"/>
    </row>
    <row r="44" spans="2:14" ht="18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212"/>
      <c r="J44" s="212"/>
      <c r="K44" s="2"/>
      <c r="L44" s="2"/>
      <c r="M44" s="192"/>
      <c r="N44" s="192"/>
    </row>
    <row r="45" spans="2:14" ht="9.75" customHeight="1">
      <c r="B45" s="53"/>
      <c r="C45" s="54"/>
      <c r="D45" s="54"/>
      <c r="E45" s="222"/>
      <c r="F45" s="250"/>
      <c r="G45" s="250"/>
      <c r="H45" s="53"/>
      <c r="I45" s="211"/>
      <c r="J45" s="211"/>
      <c r="K45" s="2"/>
      <c r="L45" s="2"/>
      <c r="M45" s="192"/>
      <c r="N45" s="192"/>
    </row>
    <row r="46" spans="2:14" ht="1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211"/>
      <c r="J46" s="211"/>
    </row>
    <row r="47" spans="2:14" ht="9.75" customHeight="1">
      <c r="B47" s="53"/>
      <c r="C47" s="54"/>
      <c r="D47" s="54"/>
      <c r="E47" s="222"/>
      <c r="F47" s="249"/>
      <c r="G47" s="249"/>
      <c r="H47" s="53"/>
      <c r="I47" s="211"/>
      <c r="J47" s="211"/>
    </row>
    <row r="48" spans="2:14" ht="15.7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57"/>
      <c r="J48" s="57"/>
    </row>
    <row r="49" spans="2:8" ht="9" customHeight="1">
      <c r="B49" s="55"/>
      <c r="C49" s="56"/>
      <c r="D49" s="56"/>
      <c r="E49" s="222"/>
      <c r="F49" s="203"/>
      <c r="G49" s="55"/>
      <c r="H49" s="57"/>
    </row>
    <row r="50" spans="2:8" ht="14.2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</row>
    <row r="51" spans="2:8">
      <c r="C51" s="15"/>
      <c r="E51" s="210"/>
    </row>
    <row r="52" spans="2:8">
      <c r="C52" s="15"/>
    </row>
    <row r="53" spans="2:8">
      <c r="C53" s="15"/>
    </row>
    <row r="54" spans="2:8">
      <c r="C54" s="15"/>
    </row>
    <row r="55" spans="2:8">
      <c r="C55" s="15"/>
    </row>
    <row r="56" spans="2:8">
      <c r="C56" s="15"/>
    </row>
    <row r="57" spans="2:8">
      <c r="C57" s="15"/>
    </row>
  </sheetData>
  <mergeCells count="57">
    <mergeCell ref="B1:H1"/>
    <mergeCell ref="E42:F42"/>
    <mergeCell ref="B5:H6"/>
    <mergeCell ref="G42:H42"/>
    <mergeCell ref="F44:G44"/>
    <mergeCell ref="G39:H39"/>
    <mergeCell ref="E41:F41"/>
    <mergeCell ref="F24:G24"/>
    <mergeCell ref="B16:H16"/>
    <mergeCell ref="C17:D17"/>
    <mergeCell ref="E39:F39"/>
    <mergeCell ref="E40:F40"/>
    <mergeCell ref="E17:F17"/>
    <mergeCell ref="G17:H17"/>
    <mergeCell ref="C18:D18"/>
    <mergeCell ref="E18:F18"/>
    <mergeCell ref="G41:H41"/>
    <mergeCell ref="B2:H2"/>
    <mergeCell ref="B3:H3"/>
    <mergeCell ref="B4:H4"/>
    <mergeCell ref="G40:H40"/>
    <mergeCell ref="D8:E8"/>
    <mergeCell ref="B37:H37"/>
    <mergeCell ref="E38:F38"/>
    <mergeCell ref="G38:H38"/>
    <mergeCell ref="B23:H23"/>
    <mergeCell ref="B24:B25"/>
    <mergeCell ref="C24:C25"/>
    <mergeCell ref="D24:D25"/>
    <mergeCell ref="E24:E25"/>
    <mergeCell ref="H24:H25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38:D38"/>
    <mergeCell ref="C39:D39"/>
    <mergeCell ref="C40:D40"/>
    <mergeCell ref="C41:D41"/>
    <mergeCell ref="C42:D42"/>
    <mergeCell ref="C44:E44"/>
    <mergeCell ref="C46:E46"/>
    <mergeCell ref="C48:E48"/>
    <mergeCell ref="F48:G48"/>
    <mergeCell ref="C50:E50"/>
    <mergeCell ref="F50:G50"/>
    <mergeCell ref="F46:G46"/>
    <mergeCell ref="F47:G47"/>
    <mergeCell ref="F45:G45"/>
  </mergeCells>
  <printOptions horizontalCentered="1"/>
  <pageMargins left="0.23622047244094491" right="0.19685039370078741" top="0.16" bottom="0.23622047244094491" header="0.16" footer="0.2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51"/>
  <sheetViews>
    <sheetView topLeftCell="A33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.42578125" style="1" customWidth="1"/>
    <col min="3" max="3" width="15.140625" style="15" customWidth="1"/>
    <col min="4" max="4" width="8.42578125" style="3" customWidth="1"/>
    <col min="5" max="5" width="10.5703125" style="3" customWidth="1"/>
    <col min="6" max="6" width="9.7109375" style="1" customWidth="1"/>
    <col min="7" max="7" width="10.28515625" style="1" customWidth="1"/>
    <col min="8" max="8" width="10.85546875" style="1" customWidth="1"/>
    <col min="9" max="9" width="15.28515625" style="1" customWidth="1"/>
    <col min="10" max="10" width="16.85546875" style="1" customWidth="1"/>
    <col min="11" max="11" width="9.140625" style="1"/>
    <col min="12" max="12" width="11.42578125" style="1" customWidth="1"/>
    <col min="13" max="13" width="14" style="188" customWidth="1"/>
    <col min="14" max="14" width="16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171</v>
      </c>
      <c r="C3" s="253"/>
      <c r="D3" s="253"/>
      <c r="E3" s="253"/>
      <c r="F3" s="253"/>
      <c r="G3" s="253"/>
      <c r="H3" s="253"/>
    </row>
    <row r="4" spans="1:9">
      <c r="B4" s="253" t="s">
        <v>179</v>
      </c>
      <c r="C4" s="253"/>
      <c r="D4" s="253"/>
      <c r="E4" s="253"/>
      <c r="F4" s="253"/>
      <c r="G4" s="253"/>
      <c r="H4" s="253"/>
    </row>
    <row r="5" spans="1:9" ht="19.5" customHeight="1">
      <c r="A5" s="143"/>
      <c r="B5" s="254" t="s">
        <v>180</v>
      </c>
      <c r="C5" s="254"/>
      <c r="D5" s="254"/>
      <c r="E5" s="254"/>
      <c r="F5" s="254"/>
      <c r="G5" s="254"/>
      <c r="H5" s="254"/>
    </row>
    <row r="6" spans="1:9" ht="20.25" customHeight="1">
      <c r="A6" s="143"/>
      <c r="B6" s="254"/>
      <c r="C6" s="254"/>
      <c r="D6" s="254"/>
      <c r="E6" s="254"/>
      <c r="F6" s="254"/>
      <c r="G6" s="254"/>
      <c r="H6" s="254"/>
    </row>
    <row r="7" spans="1:9" ht="8.25" customHeight="1"/>
    <row r="8" spans="1:9">
      <c r="B8" s="169" t="s">
        <v>0</v>
      </c>
      <c r="C8" s="170"/>
      <c r="D8" s="261" t="s">
        <v>74</v>
      </c>
      <c r="E8" s="261"/>
      <c r="F8" s="169"/>
    </row>
    <row r="9" spans="1:9">
      <c r="B9" s="169" t="s">
        <v>1</v>
      </c>
      <c r="C9" s="170"/>
      <c r="D9" s="213">
        <v>1967</v>
      </c>
      <c r="E9" s="213"/>
      <c r="F9" s="169"/>
    </row>
    <row r="10" spans="1:9" hidden="1" outlineLevel="1">
      <c r="B10" s="169" t="s">
        <v>2</v>
      </c>
      <c r="C10" s="170"/>
      <c r="D10" s="213">
        <v>4</v>
      </c>
      <c r="E10" s="213"/>
      <c r="F10" s="169"/>
    </row>
    <row r="11" spans="1:9" hidden="1" outlineLevel="1">
      <c r="B11" s="169" t="s">
        <v>3</v>
      </c>
      <c r="C11" s="170"/>
      <c r="D11" s="213">
        <v>60</v>
      </c>
      <c r="E11" s="213"/>
      <c r="F11" s="169"/>
    </row>
    <row r="12" spans="1:9" ht="30.75" hidden="1" customHeight="1" outlineLevel="1">
      <c r="B12" s="171" t="s">
        <v>4</v>
      </c>
      <c r="C12" s="172"/>
      <c r="D12" s="213" t="s">
        <v>75</v>
      </c>
      <c r="E12" s="213"/>
      <c r="F12" s="169"/>
    </row>
    <row r="13" spans="1:9" collapsed="1">
      <c r="B13" s="169" t="s">
        <v>5</v>
      </c>
      <c r="C13" s="170"/>
      <c r="D13" s="213" t="s">
        <v>130</v>
      </c>
      <c r="E13" s="213"/>
      <c r="F13" s="169"/>
      <c r="I13" s="5"/>
    </row>
    <row r="14" spans="1:9">
      <c r="B14" s="169" t="s">
        <v>6</v>
      </c>
      <c r="C14" s="170"/>
      <c r="D14" s="213" t="s">
        <v>132</v>
      </c>
      <c r="E14" s="213"/>
      <c r="F14" s="169"/>
    </row>
    <row r="15" spans="1:9" ht="30.75" hidden="1" customHeight="1" outlineLevel="1">
      <c r="B15" s="16" t="s">
        <v>8</v>
      </c>
      <c r="C15" s="17"/>
      <c r="D15" s="214" t="s">
        <v>76</v>
      </c>
      <c r="E15" s="162"/>
      <c r="I15" s="5"/>
    </row>
    <row r="16" spans="1:9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5" ht="45.7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5">
      <c r="B18" s="156" t="s">
        <v>11</v>
      </c>
      <c r="C18" s="266">
        <v>3915134.6908813561</v>
      </c>
      <c r="D18" s="267"/>
      <c r="E18" s="228">
        <v>2705504.4170707073</v>
      </c>
      <c r="F18" s="229"/>
      <c r="G18" s="228">
        <v>1209630.2738106488</v>
      </c>
      <c r="H18" s="244"/>
      <c r="I18" s="5"/>
    </row>
    <row r="19" spans="2:15">
      <c r="B19" s="157" t="s">
        <v>12</v>
      </c>
      <c r="C19" s="230">
        <v>3434000.5731864409</v>
      </c>
      <c r="D19" s="268"/>
      <c r="E19" s="230">
        <v>2377370.2570508476</v>
      </c>
      <c r="F19" s="231"/>
      <c r="G19" s="230">
        <v>1056630.3161355932</v>
      </c>
      <c r="H19" s="241"/>
      <c r="I19" s="5"/>
    </row>
    <row r="20" spans="2:15" ht="16.5" thickBot="1">
      <c r="B20" s="158" t="s">
        <v>88</v>
      </c>
      <c r="C20" s="269">
        <v>3760525.22</v>
      </c>
      <c r="D20" s="270"/>
      <c r="E20" s="232">
        <v>2708410.22</v>
      </c>
      <c r="F20" s="233"/>
      <c r="G20" s="232">
        <v>1052115</v>
      </c>
      <c r="H20" s="242"/>
      <c r="I20" s="5"/>
    </row>
    <row r="21" spans="2:15" ht="33" customHeight="1" thickBot="1">
      <c r="B21" s="159" t="s">
        <v>146</v>
      </c>
      <c r="C21" s="234">
        <f>E21+G21</f>
        <v>-326524.64681355935</v>
      </c>
      <c r="D21" s="235"/>
      <c r="E21" s="245">
        <f>E19-E20</f>
        <v>-331039.96294915257</v>
      </c>
      <c r="F21" s="246"/>
      <c r="G21" s="245">
        <f>G19-G20</f>
        <v>4515.3161355932243</v>
      </c>
      <c r="H21" s="247"/>
      <c r="I21" s="5"/>
    </row>
    <row r="22" spans="2:15">
      <c r="B22" s="16"/>
      <c r="C22" s="17"/>
      <c r="D22" s="214"/>
      <c r="E22" s="162"/>
      <c r="I22" s="5"/>
    </row>
    <row r="23" spans="2:15" ht="35.25" customHeight="1" thickBot="1">
      <c r="B23" s="263" t="s">
        <v>181</v>
      </c>
      <c r="C23" s="263"/>
      <c r="D23" s="263"/>
      <c r="E23" s="263"/>
      <c r="F23" s="263"/>
      <c r="G23" s="263"/>
      <c r="H23" s="263"/>
      <c r="I23" s="145"/>
      <c r="J23" s="145"/>
      <c r="L23" s="5"/>
      <c r="M23" s="224" t="s">
        <v>148</v>
      </c>
      <c r="N23" s="224" t="s">
        <v>149</v>
      </c>
    </row>
    <row r="24" spans="2:15" ht="31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I24" s="146"/>
      <c r="J24" s="146"/>
      <c r="L24" s="5"/>
      <c r="M24" s="225"/>
      <c r="N24" s="225"/>
    </row>
    <row r="25" spans="2:15" ht="63.7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46"/>
      <c r="J25" s="146"/>
      <c r="M25" s="191">
        <v>281274.96000000002</v>
      </c>
      <c r="N25" s="189">
        <f>M25*1.05</f>
        <v>295338.70800000004</v>
      </c>
    </row>
    <row r="26" spans="2:15" ht="40.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29964.970613065332</v>
      </c>
      <c r="G26" s="25">
        <f>$N$25/$N$26*E26</f>
        <v>31463.219143718601</v>
      </c>
      <c r="H26" s="26">
        <f>F26-G26</f>
        <v>-1498.248530653269</v>
      </c>
      <c r="I26" s="147"/>
      <c r="J26" s="147"/>
      <c r="K26" s="209"/>
      <c r="L26" s="28"/>
      <c r="M26" s="191">
        <f>E35-E33</f>
        <v>9.9499999999999993</v>
      </c>
      <c r="N26" s="191">
        <f>E35-E33</f>
        <v>9.9499999999999993</v>
      </c>
    </row>
    <row r="27" spans="2:15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33639.919839195987</v>
      </c>
      <c r="G27" s="25">
        <f t="shared" ref="G27:G31" si="1">$N$25/$N$26*E27</f>
        <v>35321.915831155784</v>
      </c>
      <c r="H27" s="26">
        <f t="shared" ref="H27:H32" si="2">F27-G27</f>
        <v>-1681.9959919597968</v>
      </c>
      <c r="I27" s="147"/>
      <c r="J27" s="147"/>
      <c r="K27" s="2"/>
      <c r="L27" s="6" t="s">
        <v>133</v>
      </c>
      <c r="M27" s="194">
        <f>M28/14.75*M26</f>
        <v>0</v>
      </c>
      <c r="N27" s="194">
        <f>N28/14.75*N26</f>
        <v>0</v>
      </c>
    </row>
    <row r="28" spans="2:15" ht="30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9046.0288643216099</v>
      </c>
      <c r="G28" s="25">
        <f t="shared" si="1"/>
        <v>9498.3303075376916</v>
      </c>
      <c r="H28" s="26">
        <f t="shared" si="2"/>
        <v>-452.30144321608168</v>
      </c>
      <c r="I28" s="147"/>
      <c r="J28" s="147"/>
      <c r="L28" s="6" t="s">
        <v>131</v>
      </c>
      <c r="M28" s="195"/>
      <c r="N28" s="195"/>
      <c r="O28" s="6"/>
    </row>
    <row r="29" spans="2:15" ht="25.5">
      <c r="B29" s="33" t="s">
        <v>84</v>
      </c>
      <c r="C29" s="35" t="s">
        <v>99</v>
      </c>
      <c r="D29" s="22" t="s">
        <v>98</v>
      </c>
      <c r="E29" s="30">
        <v>0.24</v>
      </c>
      <c r="F29" s="24">
        <f t="shared" si="0"/>
        <v>6784.521648241207</v>
      </c>
      <c r="G29" s="25">
        <f t="shared" si="1"/>
        <v>7123.7477306532683</v>
      </c>
      <c r="H29" s="26">
        <f t="shared" si="2"/>
        <v>-339.22608241206126</v>
      </c>
      <c r="I29" s="147"/>
      <c r="J29" s="147"/>
      <c r="L29" s="7" t="s">
        <v>134</v>
      </c>
      <c r="M29" s="194">
        <f>M28/14.75*E33</f>
        <v>0</v>
      </c>
      <c r="N29" s="194">
        <f>N28/14.75*E33</f>
        <v>0</v>
      </c>
      <c r="O29" s="6"/>
    </row>
    <row r="30" spans="2:15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33357.231437185932</v>
      </c>
      <c r="G30" s="25">
        <f t="shared" si="1"/>
        <v>35025.093009045231</v>
      </c>
      <c r="H30" s="26">
        <f t="shared" si="2"/>
        <v>-1667.8615718592991</v>
      </c>
      <c r="I30" s="147"/>
      <c r="J30" s="147"/>
    </row>
    <row r="31" spans="2:15" ht="216.7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158588.19352763824</v>
      </c>
      <c r="G31" s="25">
        <f t="shared" si="1"/>
        <v>166517.60320402015</v>
      </c>
      <c r="H31" s="26">
        <f t="shared" si="2"/>
        <v>-7929.4096763819107</v>
      </c>
      <c r="I31" s="147"/>
      <c r="J31" s="147"/>
      <c r="K31" s="2"/>
      <c r="L31" s="4"/>
      <c r="M31" s="192"/>
      <c r="N31" s="192"/>
    </row>
    <row r="32" spans="2:15" ht="108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6784.521648241207</v>
      </c>
      <c r="G32" s="25">
        <f t="shared" ref="G32" si="3">$N$25/$N$26*E32</f>
        <v>7123.7477306532683</v>
      </c>
      <c r="H32" s="26">
        <f t="shared" si="2"/>
        <v>-339.22608241206126</v>
      </c>
      <c r="I32" s="147"/>
      <c r="J32" s="147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4.9000000000000004</v>
      </c>
      <c r="F33" s="24">
        <v>138517.32</v>
      </c>
      <c r="G33" s="31">
        <v>285895</v>
      </c>
      <c r="H33" s="26">
        <f>F33-G33</f>
        <v>-147377.68</v>
      </c>
      <c r="I33" s="147"/>
      <c r="J33" s="147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0.11</v>
      </c>
      <c r="F34" s="24">
        <f t="shared" si="0"/>
        <v>3109.5724221105534</v>
      </c>
      <c r="G34" s="25">
        <f t="shared" ref="G34" si="4">$N$25/$N$26*E34</f>
        <v>3265.0510432160813</v>
      </c>
      <c r="H34" s="26">
        <f>F34-G34</f>
        <v>-155.47862110552796</v>
      </c>
      <c r="I34" s="147"/>
      <c r="J34" s="147"/>
    </row>
    <row r="35" spans="2:14" ht="16.5" thickBot="1">
      <c r="B35" s="40" t="s">
        <v>89</v>
      </c>
      <c r="C35" s="41"/>
      <c r="D35" s="41"/>
      <c r="E35" s="42">
        <f>SUM(E26:E34)</f>
        <v>14.85</v>
      </c>
      <c r="F35" s="43">
        <f>SUM(F26:F34)</f>
        <v>419792.28</v>
      </c>
      <c r="G35" s="44">
        <f>SUM(G26:G34)</f>
        <v>581233.7080000001</v>
      </c>
      <c r="H35" s="45">
        <f>SUM(H26:H34)</f>
        <v>-161441.42799999999</v>
      </c>
      <c r="I35" s="148"/>
      <c r="J35" s="148"/>
    </row>
    <row r="36" spans="2:14">
      <c r="B36" s="5"/>
      <c r="C36" s="5"/>
      <c r="D36" s="5"/>
      <c r="E36" s="15"/>
      <c r="F36" s="15"/>
      <c r="G36" s="15"/>
      <c r="H36" s="3"/>
      <c r="I36" s="3"/>
      <c r="J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149"/>
      <c r="J37" s="149"/>
    </row>
    <row r="38" spans="2:14" ht="44.2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4334926.9708813559</v>
      </c>
      <c r="D39" s="229"/>
      <c r="E39" s="228">
        <f>F26+F27+F28+F29+F30+F31+F32+F34+E18</f>
        <v>2986779.3770707073</v>
      </c>
      <c r="F39" s="229"/>
      <c r="G39" s="228">
        <f>F33+G18</f>
        <v>1348147.5938106489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3800305.8531864407</v>
      </c>
      <c r="D40" s="231"/>
      <c r="E40" s="230">
        <f>E19+N27+245436.87</f>
        <v>2622807.1270508477</v>
      </c>
      <c r="F40" s="231"/>
      <c r="G40" s="230">
        <f>G19+N29+120868.41</f>
        <v>1177498.7261355931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4341758.9280000003</v>
      </c>
      <c r="D41" s="233"/>
      <c r="E41" s="232">
        <f>G26+G27+G28+G29+G30+G31+G32+G34+E20</f>
        <v>3003748.9280000003</v>
      </c>
      <c r="F41" s="233"/>
      <c r="G41" s="232">
        <f>G33+G20</f>
        <v>1338010</v>
      </c>
      <c r="H41" s="242"/>
      <c r="I41" s="165"/>
      <c r="J41" s="49"/>
      <c r="K41" s="34"/>
      <c r="L41" s="34"/>
    </row>
    <row r="42" spans="2:14" ht="29.25" customHeight="1" thickBot="1">
      <c r="B42" s="159" t="s">
        <v>147</v>
      </c>
      <c r="C42" s="234">
        <f>E42+G42</f>
        <v>-541453.07481355942</v>
      </c>
      <c r="D42" s="235"/>
      <c r="E42" s="245">
        <f>E40-E41</f>
        <v>-380941.80094915256</v>
      </c>
      <c r="F42" s="246"/>
      <c r="G42" s="245">
        <f>G40-G41</f>
        <v>-160511.27386440686</v>
      </c>
      <c r="H42" s="247"/>
      <c r="I42" s="168"/>
      <c r="J42" s="153"/>
      <c r="K42" s="34"/>
      <c r="L42" s="34"/>
    </row>
    <row r="43" spans="2:14" ht="18" customHeight="1">
      <c r="B43" s="79"/>
      <c r="C43" s="151"/>
      <c r="D43" s="151"/>
      <c r="E43" s="153"/>
      <c r="F43" s="153"/>
      <c r="G43" s="153"/>
      <c r="H43" s="153"/>
      <c r="I43" s="211"/>
      <c r="J43" s="211"/>
      <c r="K43" s="2"/>
      <c r="L43" s="2"/>
      <c r="M43" s="192"/>
      <c r="N43" s="192"/>
    </row>
    <row r="44" spans="2:14" ht="1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212"/>
      <c r="J44" s="212"/>
      <c r="K44" s="2"/>
      <c r="L44" s="2"/>
      <c r="M44" s="192"/>
      <c r="N44" s="192"/>
    </row>
    <row r="45" spans="2:14" ht="11.25" customHeight="1">
      <c r="B45" s="53"/>
      <c r="C45" s="54"/>
      <c r="D45" s="54"/>
      <c r="E45" s="222"/>
      <c r="F45" s="250"/>
      <c r="G45" s="250"/>
      <c r="H45" s="53"/>
      <c r="I45" s="211"/>
      <c r="J45" s="211"/>
      <c r="K45" s="2"/>
      <c r="L45" s="2"/>
      <c r="M45" s="192"/>
      <c r="N45" s="192"/>
    </row>
    <row r="46" spans="2:14" ht="14.2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211"/>
      <c r="J46" s="211"/>
    </row>
    <row r="47" spans="2:14" ht="9.75" customHeight="1">
      <c r="B47" s="53"/>
      <c r="C47" s="54"/>
      <c r="D47" s="54"/>
      <c r="E47" s="222"/>
      <c r="F47" s="249"/>
      <c r="G47" s="249"/>
      <c r="H47" s="53"/>
      <c r="I47" s="211"/>
      <c r="J47" s="211"/>
    </row>
    <row r="48" spans="2:14" ht="13.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57"/>
      <c r="J48" s="57"/>
    </row>
    <row r="49" spans="2:8" ht="9" customHeight="1">
      <c r="B49" s="55"/>
      <c r="C49" s="56"/>
      <c r="D49" s="56"/>
      <c r="E49" s="222"/>
      <c r="F49" s="203"/>
      <c r="G49" s="55"/>
      <c r="H49" s="57"/>
    </row>
    <row r="50" spans="2:8" ht="14.2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</row>
    <row r="51" spans="2:8">
      <c r="E51" s="210"/>
    </row>
  </sheetData>
  <mergeCells count="57">
    <mergeCell ref="B2:H2"/>
    <mergeCell ref="B3:H3"/>
    <mergeCell ref="B4:H4"/>
    <mergeCell ref="B1:H1"/>
    <mergeCell ref="G41:H41"/>
    <mergeCell ref="B37:H37"/>
    <mergeCell ref="D8:E8"/>
    <mergeCell ref="B23:H23"/>
    <mergeCell ref="B24:B25"/>
    <mergeCell ref="C24:C25"/>
    <mergeCell ref="B5:H6"/>
    <mergeCell ref="F24:G24"/>
    <mergeCell ref="H24:H25"/>
    <mergeCell ref="D24:D25"/>
    <mergeCell ref="E24:E25"/>
    <mergeCell ref="B16:H16"/>
    <mergeCell ref="F44:G44"/>
    <mergeCell ref="E41:F41"/>
    <mergeCell ref="E38:F38"/>
    <mergeCell ref="G38:H38"/>
    <mergeCell ref="E39:F39"/>
    <mergeCell ref="G39:H39"/>
    <mergeCell ref="G40:H40"/>
    <mergeCell ref="E40:F40"/>
    <mergeCell ref="C44:E44"/>
    <mergeCell ref="G42:H42"/>
    <mergeCell ref="C38:D38"/>
    <mergeCell ref="C42:D42"/>
    <mergeCell ref="C17:D17"/>
    <mergeCell ref="E17:F17"/>
    <mergeCell ref="G17:H17"/>
    <mergeCell ref="C18:D18"/>
    <mergeCell ref="E18:F18"/>
    <mergeCell ref="G18:H18"/>
    <mergeCell ref="N23:N24"/>
    <mergeCell ref="C19:D19"/>
    <mergeCell ref="E19:F19"/>
    <mergeCell ref="G19:H19"/>
    <mergeCell ref="C20:D20"/>
    <mergeCell ref="E20:F20"/>
    <mergeCell ref="G20:H20"/>
    <mergeCell ref="C50:E50"/>
    <mergeCell ref="C21:D21"/>
    <mergeCell ref="E21:F21"/>
    <mergeCell ref="G21:H21"/>
    <mergeCell ref="M23:M24"/>
    <mergeCell ref="E42:F42"/>
    <mergeCell ref="F50:G50"/>
    <mergeCell ref="F46:G46"/>
    <mergeCell ref="F47:G47"/>
    <mergeCell ref="C46:E46"/>
    <mergeCell ref="C48:E48"/>
    <mergeCell ref="F48:G48"/>
    <mergeCell ref="F45:G45"/>
    <mergeCell ref="C39:D39"/>
    <mergeCell ref="C40:D40"/>
    <mergeCell ref="C41:D41"/>
  </mergeCells>
  <printOptions horizontalCentered="1"/>
  <pageMargins left="0.19685039370078741" right="0.19685039370078741" top="0.15748031496062992" bottom="0.15748031496062992" header="0.15748031496062992" footer="0.23622047244094491"/>
  <pageSetup paperSize="9" scale="4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1" sqref="F1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3"/>
  <sheetViews>
    <sheetView zoomScale="110" zoomScaleNormal="110" workbookViewId="0">
      <selection activeCell="B1" sqref="B1:H51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5.140625" style="15" customWidth="1"/>
    <col min="4" max="4" width="8.85546875" style="3" customWidth="1"/>
    <col min="5" max="5" width="9.85546875" style="3" customWidth="1"/>
    <col min="6" max="6" width="9.85546875" style="1" customWidth="1"/>
    <col min="7" max="7" width="10.28515625" style="1" customWidth="1"/>
    <col min="8" max="8" width="10.5703125" style="1" customWidth="1"/>
    <col min="9" max="9" width="14.7109375" style="1" customWidth="1"/>
    <col min="10" max="10" width="14" style="1" customWidth="1"/>
    <col min="11" max="12" width="9.140625" style="1"/>
    <col min="13" max="13" width="20.7109375" style="188" customWidth="1"/>
    <col min="14" max="14" width="24.5703125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154</v>
      </c>
      <c r="C3" s="253"/>
      <c r="D3" s="253"/>
      <c r="E3" s="253"/>
      <c r="F3" s="253"/>
      <c r="G3" s="253"/>
      <c r="H3" s="253"/>
    </row>
    <row r="4" spans="1:9" ht="13.5" customHeight="1">
      <c r="B4" s="253" t="s">
        <v>179</v>
      </c>
      <c r="C4" s="253"/>
      <c r="D4" s="253"/>
      <c r="E4" s="253"/>
      <c r="F4" s="253"/>
      <c r="G4" s="253"/>
      <c r="H4" s="253"/>
    </row>
    <row r="5" spans="1:9" ht="15.75" customHeight="1">
      <c r="A5" s="14"/>
      <c r="B5" s="254" t="s">
        <v>180</v>
      </c>
      <c r="C5" s="254"/>
      <c r="D5" s="254"/>
      <c r="E5" s="254"/>
      <c r="F5" s="254"/>
      <c r="G5" s="254"/>
      <c r="H5" s="254"/>
    </row>
    <row r="6" spans="1:9" ht="21.75" customHeight="1">
      <c r="A6" s="14"/>
      <c r="B6" s="254"/>
      <c r="C6" s="254"/>
      <c r="D6" s="254"/>
      <c r="E6" s="254"/>
      <c r="F6" s="254"/>
      <c r="G6" s="254"/>
      <c r="H6" s="254"/>
    </row>
    <row r="7" spans="1:9" ht="9.75" customHeight="1"/>
    <row r="8" spans="1:9" ht="13.5" customHeight="1">
      <c r="B8" s="169" t="s">
        <v>0</v>
      </c>
      <c r="C8" s="170"/>
      <c r="D8" s="261" t="s">
        <v>19</v>
      </c>
      <c r="E8" s="261"/>
    </row>
    <row r="9" spans="1:9" ht="15" customHeight="1">
      <c r="B9" s="169" t="s">
        <v>1</v>
      </c>
      <c r="C9" s="170"/>
      <c r="D9" s="213">
        <v>1990</v>
      </c>
      <c r="E9" s="213"/>
    </row>
    <row r="10" spans="1:9" hidden="1" outlineLevel="1">
      <c r="B10" s="169" t="s">
        <v>2</v>
      </c>
      <c r="C10" s="170"/>
      <c r="D10" s="213">
        <v>5</v>
      </c>
      <c r="E10" s="213"/>
    </row>
    <row r="11" spans="1:9" hidden="1" outlineLevel="1">
      <c r="B11" s="169" t="s">
        <v>3</v>
      </c>
      <c r="C11" s="170"/>
      <c r="D11" s="213">
        <v>62</v>
      </c>
      <c r="E11" s="213"/>
    </row>
    <row r="12" spans="1:9" ht="30.75" hidden="1" customHeight="1" outlineLevel="1">
      <c r="B12" s="171" t="s">
        <v>4</v>
      </c>
      <c r="C12" s="172"/>
      <c r="D12" s="213" t="s">
        <v>20</v>
      </c>
      <c r="E12" s="213"/>
    </row>
    <row r="13" spans="1:9" ht="16.5" customHeight="1" collapsed="1">
      <c r="B13" s="169" t="s">
        <v>5</v>
      </c>
      <c r="C13" s="170"/>
      <c r="D13" s="213" t="s">
        <v>103</v>
      </c>
      <c r="E13" s="213"/>
      <c r="I13" s="5"/>
    </row>
    <row r="14" spans="1:9" hidden="1" outlineLevel="1">
      <c r="B14" s="1" t="s">
        <v>6</v>
      </c>
      <c r="D14" s="162" t="s">
        <v>7</v>
      </c>
      <c r="E14" s="162"/>
    </row>
    <row r="15" spans="1:9" ht="30.75" hidden="1" customHeight="1" outlineLevel="1">
      <c r="B15" s="16" t="s">
        <v>8</v>
      </c>
      <c r="C15" s="17"/>
      <c r="D15" s="214" t="s">
        <v>18</v>
      </c>
      <c r="E15" s="162"/>
      <c r="I15" s="5"/>
    </row>
    <row r="16" spans="1:9" ht="18" customHeight="1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 ht="16.5" customHeight="1">
      <c r="B18" s="156" t="s">
        <v>11</v>
      </c>
      <c r="C18" s="266">
        <v>5281649.6500000004</v>
      </c>
      <c r="D18" s="267"/>
      <c r="E18" s="228">
        <v>3616659.56</v>
      </c>
      <c r="F18" s="229"/>
      <c r="G18" s="228">
        <v>1664990.09</v>
      </c>
      <c r="H18" s="244"/>
      <c r="I18" s="5"/>
    </row>
    <row r="19" spans="2:14" ht="15.75" customHeight="1">
      <c r="B19" s="157" t="s">
        <v>12</v>
      </c>
      <c r="C19" s="230">
        <v>4782907.9000000004</v>
      </c>
      <c r="D19" s="268"/>
      <c r="E19" s="230">
        <v>3270946.18</v>
      </c>
      <c r="F19" s="231"/>
      <c r="G19" s="230">
        <v>1511961.72</v>
      </c>
      <c r="H19" s="241"/>
      <c r="I19" s="5"/>
    </row>
    <row r="20" spans="2:14" ht="16.5" thickBot="1">
      <c r="B20" s="158" t="s">
        <v>88</v>
      </c>
      <c r="C20" s="269">
        <v>5277248.8705616416</v>
      </c>
      <c r="D20" s="270"/>
      <c r="E20" s="232">
        <v>3677913.8705616416</v>
      </c>
      <c r="F20" s="233"/>
      <c r="G20" s="232">
        <v>1599335</v>
      </c>
      <c r="H20" s="242"/>
      <c r="I20" s="5"/>
    </row>
    <row r="21" spans="2:14" ht="32.25" customHeight="1" thickBot="1">
      <c r="B21" s="159" t="s">
        <v>146</v>
      </c>
      <c r="C21" s="234">
        <f>E21+G21</f>
        <v>-494340.9705616415</v>
      </c>
      <c r="D21" s="235"/>
      <c r="E21" s="245">
        <f>E19-E20</f>
        <v>-406967.69056164147</v>
      </c>
      <c r="F21" s="246"/>
      <c r="G21" s="245">
        <f>G19-G20</f>
        <v>-87373.280000000028</v>
      </c>
      <c r="H21" s="247"/>
      <c r="I21" s="5"/>
    </row>
    <row r="22" spans="2:14" ht="12.75" customHeight="1">
      <c r="B22" s="16"/>
      <c r="C22" s="17"/>
      <c r="D22" s="214"/>
      <c r="E22" s="162"/>
      <c r="I22" s="5"/>
    </row>
    <row r="23" spans="2:14" ht="32.2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0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s="209" customFormat="1" ht="54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"/>
      <c r="J25" s="1"/>
      <c r="K25" s="1"/>
      <c r="L25" s="1"/>
      <c r="M25" s="189">
        <v>389882.43</v>
      </c>
      <c r="N25" s="189">
        <f>M25*1.05</f>
        <v>409376.5515</v>
      </c>
    </row>
    <row r="26" spans="2:14" s="2" customFormat="1" ht="41.2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 t="shared" ref="F26:F31" si="0">$M$25/$M$26*E26</f>
        <v>40636.713451327436</v>
      </c>
      <c r="G26" s="25">
        <f>$N$25/$N$26*E26</f>
        <v>43178.024337313429</v>
      </c>
      <c r="H26" s="26">
        <f>F26-G26</f>
        <v>-2541.3108859859931</v>
      </c>
      <c r="I26" s="64"/>
      <c r="J26" s="209"/>
      <c r="K26" s="209"/>
      <c r="L26" s="28"/>
      <c r="M26" s="191">
        <f>E36-E33</f>
        <v>10.17</v>
      </c>
      <c r="N26" s="191">
        <v>10.050000000000001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si="0"/>
        <v>45620.461327433623</v>
      </c>
      <c r="G27" s="25">
        <f t="shared" ref="G27:G31" si="1">$N$25/$N$26*E27</f>
        <v>48473.4424164179</v>
      </c>
      <c r="H27" s="26">
        <f t="shared" ref="H27:H32" si="2">F27-G27</f>
        <v>-2852.9810889842774</v>
      </c>
      <c r="I27" s="32"/>
      <c r="J27" s="2"/>
      <c r="K27" s="2"/>
      <c r="L27" s="2"/>
      <c r="M27" s="192"/>
      <c r="N27" s="192"/>
    </row>
    <row r="28" spans="2:14" ht="29.2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12267.687079646017</v>
      </c>
      <c r="G28" s="25">
        <f t="shared" si="1"/>
        <v>13034.875271641789</v>
      </c>
      <c r="H28" s="26">
        <f t="shared" si="2"/>
        <v>-767.18819199577229</v>
      </c>
      <c r="I28" s="34"/>
      <c r="L28" s="5"/>
    </row>
    <row r="29" spans="2:14" ht="27.75" customHeight="1">
      <c r="B29" s="33" t="s">
        <v>84</v>
      </c>
      <c r="C29" s="35" t="s">
        <v>99</v>
      </c>
      <c r="D29" s="22" t="s">
        <v>98</v>
      </c>
      <c r="E29" s="30">
        <v>0.1</v>
      </c>
      <c r="F29" s="24">
        <f t="shared" si="0"/>
        <v>3833.6522123893806</v>
      </c>
      <c r="G29" s="25">
        <f t="shared" si="1"/>
        <v>4073.3985223880591</v>
      </c>
      <c r="H29" s="26">
        <f t="shared" si="2"/>
        <v>-239.7463099986785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45237.096106194687</v>
      </c>
      <c r="G30" s="25">
        <f t="shared" si="1"/>
        <v>48066.102564179091</v>
      </c>
      <c r="H30" s="26">
        <f t="shared" si="2"/>
        <v>-2829.0064579844038</v>
      </c>
      <c r="I30" s="34"/>
    </row>
    <row r="31" spans="2:14" s="2" customFormat="1" ht="213" customHeight="1">
      <c r="B31" s="29" t="s">
        <v>139</v>
      </c>
      <c r="C31" s="21" t="s">
        <v>100</v>
      </c>
      <c r="D31" s="22" t="s">
        <v>98</v>
      </c>
      <c r="E31" s="30">
        <v>5.61</v>
      </c>
      <c r="F31" s="24">
        <f t="shared" si="0"/>
        <v>215067.88911504424</v>
      </c>
      <c r="G31" s="25">
        <f t="shared" si="1"/>
        <v>228517.65710597014</v>
      </c>
      <c r="H31" s="26">
        <f t="shared" si="2"/>
        <v>-13449.767990925902</v>
      </c>
      <c r="I31" s="32"/>
      <c r="L31" s="4"/>
      <c r="M31" s="192"/>
      <c r="N31" s="192"/>
    </row>
    <row r="32" spans="2:14" ht="113.4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>$M$25/$M$26*E32</f>
        <v>9200.7653097345119</v>
      </c>
      <c r="G32" s="25">
        <f>$N$25/$N$26*E32</f>
        <v>9776.1564537313407</v>
      </c>
      <c r="H32" s="26">
        <f t="shared" si="2"/>
        <v>-575.39114399682876</v>
      </c>
      <c r="I32" s="34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6.08</v>
      </c>
      <c r="F33" s="24">
        <v>233086.05</v>
      </c>
      <c r="G33" s="31">
        <v>250992</v>
      </c>
      <c r="H33" s="26">
        <f>F33-G33</f>
        <v>-17905.950000000012</v>
      </c>
      <c r="I33" s="34"/>
      <c r="L33" s="5"/>
    </row>
    <row r="34" spans="2:14">
      <c r="B34" s="33" t="s">
        <v>92</v>
      </c>
      <c r="C34" s="35" t="s">
        <v>99</v>
      </c>
      <c r="D34" s="22" t="s">
        <v>98</v>
      </c>
      <c r="E34" s="30">
        <v>0.27</v>
      </c>
      <c r="F34" s="24">
        <f>$M$25/$M$26*E34</f>
        <v>10350.860973451327</v>
      </c>
      <c r="G34" s="25">
        <f>$N$25/$N$26*E34</f>
        <v>10998.17601044776</v>
      </c>
      <c r="H34" s="26">
        <f t="shared" ref="H34:H35" si="3">F34-G34</f>
        <v>-647.31503699643326</v>
      </c>
      <c r="I34" s="34"/>
      <c r="J34" s="65"/>
      <c r="K34" s="65"/>
      <c r="L34" s="5"/>
      <c r="M34" s="193"/>
    </row>
    <row r="35" spans="2:14" ht="16.5" thickBot="1">
      <c r="B35" s="63" t="s">
        <v>85</v>
      </c>
      <c r="C35" s="37" t="s">
        <v>100</v>
      </c>
      <c r="D35" s="38" t="s">
        <v>98</v>
      </c>
      <c r="E35" s="39">
        <v>0.2</v>
      </c>
      <c r="F35" s="24">
        <f>$M$25/$M$26*E35</f>
        <v>7667.3044247787611</v>
      </c>
      <c r="G35" s="25">
        <f>$N$25/$N$26*E35</f>
        <v>8146.7970447761181</v>
      </c>
      <c r="H35" s="26">
        <f t="shared" si="3"/>
        <v>-479.492619997357</v>
      </c>
      <c r="I35" s="34"/>
    </row>
    <row r="36" spans="2:14" s="67" customFormat="1" ht="18" customHeight="1" thickBot="1">
      <c r="B36" s="40" t="s">
        <v>89</v>
      </c>
      <c r="C36" s="41"/>
      <c r="D36" s="41"/>
      <c r="E36" s="42">
        <f>SUM(E26:E35)</f>
        <v>16.25</v>
      </c>
      <c r="F36" s="43">
        <f>SUM(F26:F35)</f>
        <v>622968.48</v>
      </c>
      <c r="G36" s="44">
        <f>SUM(G26:G35)</f>
        <v>665256.62972686568</v>
      </c>
      <c r="H36" s="45">
        <f>SUM(H26:H35)</f>
        <v>-42288.14972686566</v>
      </c>
      <c r="I36" s="66"/>
      <c r="J36" s="1"/>
      <c r="K36" s="1"/>
      <c r="L36" s="1"/>
      <c r="M36" s="188"/>
      <c r="N36" s="188"/>
    </row>
    <row r="37" spans="2:14" s="3" customFormat="1">
      <c r="B37" s="5"/>
      <c r="C37" s="5"/>
      <c r="D37" s="5"/>
      <c r="E37" s="15"/>
      <c r="F37" s="15"/>
      <c r="G37" s="15"/>
      <c r="I37" s="1"/>
      <c r="J37" s="1"/>
      <c r="K37" s="1"/>
      <c r="L37" s="1"/>
      <c r="M37" s="188"/>
      <c r="N37" s="188"/>
    </row>
    <row r="38" spans="2:14" ht="16.5" customHeight="1" thickBot="1">
      <c r="B38" s="240" t="s">
        <v>184</v>
      </c>
      <c r="C38" s="240"/>
      <c r="D38" s="240"/>
      <c r="E38" s="240"/>
      <c r="F38" s="240"/>
      <c r="G38" s="240"/>
      <c r="H38" s="240"/>
      <c r="I38" s="46"/>
      <c r="J38" s="46"/>
    </row>
    <row r="39" spans="2:14" ht="47.25" customHeight="1" thickBot="1">
      <c r="B39" s="187" t="s">
        <v>183</v>
      </c>
      <c r="C39" s="226" t="s">
        <v>101</v>
      </c>
      <c r="D39" s="227"/>
      <c r="E39" s="236" t="s">
        <v>9</v>
      </c>
      <c r="F39" s="237"/>
      <c r="G39" s="236" t="s">
        <v>10</v>
      </c>
      <c r="H39" s="243"/>
      <c r="I39" s="175"/>
      <c r="J39" s="164"/>
      <c r="K39" s="47"/>
      <c r="L39" s="48"/>
      <c r="M39" s="193"/>
      <c r="N39" s="193"/>
    </row>
    <row r="40" spans="2:14">
      <c r="B40" s="156" t="s">
        <v>11</v>
      </c>
      <c r="C40" s="228">
        <f>E40+G40</f>
        <v>5904618.1300000008</v>
      </c>
      <c r="D40" s="229"/>
      <c r="E40" s="228">
        <f>F26+F27+F30+F31+F32+F34+F35+E18+F28+F29</f>
        <v>4006541.99</v>
      </c>
      <c r="F40" s="229"/>
      <c r="G40" s="228">
        <f>F33+G18</f>
        <v>1898076.1400000001</v>
      </c>
      <c r="H40" s="244"/>
      <c r="I40" s="165"/>
      <c r="J40" s="166"/>
      <c r="K40" s="51"/>
      <c r="L40" s="50"/>
      <c r="M40" s="194"/>
    </row>
    <row r="41" spans="2:14">
      <c r="B41" s="157" t="s">
        <v>12</v>
      </c>
      <c r="C41" s="230">
        <f>E41+G41</f>
        <v>5316767.1400000006</v>
      </c>
      <c r="D41" s="231"/>
      <c r="E41" s="230">
        <f>E19+334113.75</f>
        <v>3605059.93</v>
      </c>
      <c r="F41" s="231"/>
      <c r="G41" s="230">
        <f>G19+199745.49</f>
        <v>1711707.21</v>
      </c>
      <c r="H41" s="241"/>
      <c r="I41" s="165"/>
      <c r="J41" s="167"/>
      <c r="K41" s="52"/>
      <c r="L41" s="50"/>
      <c r="M41" s="194"/>
    </row>
    <row r="42" spans="2:14" s="2" customFormat="1" ht="16.5" thickBot="1">
      <c r="B42" s="158" t="s">
        <v>88</v>
      </c>
      <c r="C42" s="232">
        <f>E42+G42</f>
        <v>5942505.500288507</v>
      </c>
      <c r="D42" s="233"/>
      <c r="E42" s="232">
        <f>G26+G27+G28+G29+G30+G31+G32+G34+G35+E20</f>
        <v>4092178.5002885074</v>
      </c>
      <c r="F42" s="233"/>
      <c r="G42" s="232">
        <f>G33+G20</f>
        <v>1850327</v>
      </c>
      <c r="H42" s="242"/>
      <c r="I42" s="165"/>
      <c r="J42" s="49"/>
      <c r="K42" s="34"/>
      <c r="L42" s="34"/>
      <c r="M42" s="188"/>
      <c r="N42" s="188"/>
    </row>
    <row r="43" spans="2:14" s="2" customFormat="1" ht="26.25" customHeight="1" thickBot="1">
      <c r="B43" s="159" t="s">
        <v>147</v>
      </c>
      <c r="C43" s="234">
        <f>E43+G43</f>
        <v>-625738.36028850731</v>
      </c>
      <c r="D43" s="235"/>
      <c r="E43" s="245">
        <f>E41-E42</f>
        <v>-487118.57028850727</v>
      </c>
      <c r="F43" s="246"/>
      <c r="G43" s="251">
        <f>G41-G42</f>
        <v>-138619.79000000004</v>
      </c>
      <c r="H43" s="252"/>
      <c r="I43" s="168"/>
      <c r="J43" s="153"/>
      <c r="K43" s="34"/>
      <c r="L43" s="34"/>
      <c r="M43" s="188"/>
      <c r="N43" s="188"/>
    </row>
    <row r="44" spans="2:14" s="2" customFormat="1" ht="15.75" customHeight="1">
      <c r="B44" s="79"/>
      <c r="C44" s="151"/>
      <c r="D44" s="151"/>
      <c r="E44" s="153"/>
      <c r="F44" s="153"/>
      <c r="G44" s="153"/>
      <c r="H44" s="153"/>
      <c r="I44" s="51"/>
      <c r="J44" s="51"/>
      <c r="K44" s="34"/>
      <c r="L44" s="34"/>
      <c r="M44" s="188"/>
      <c r="N44" s="188"/>
    </row>
    <row r="45" spans="2:14" s="2" customFormat="1" ht="14.25" customHeight="1">
      <c r="B45" s="53" t="s">
        <v>77</v>
      </c>
      <c r="C45" s="223" t="s">
        <v>150</v>
      </c>
      <c r="D45" s="223"/>
      <c r="E45" s="223"/>
      <c r="F45" s="249" t="s">
        <v>175</v>
      </c>
      <c r="G45" s="249"/>
      <c r="H45" s="53"/>
      <c r="I45" s="53"/>
      <c r="M45" s="192"/>
      <c r="N45" s="192"/>
    </row>
    <row r="46" spans="2:14" ht="10.5" customHeight="1">
      <c r="B46" s="53"/>
      <c r="C46" s="54"/>
      <c r="D46" s="54"/>
      <c r="E46" s="222"/>
      <c r="F46" s="250"/>
      <c r="G46" s="250"/>
      <c r="H46" s="53"/>
      <c r="I46" s="53"/>
      <c r="J46" s="2"/>
      <c r="K46" s="2"/>
      <c r="L46" s="2"/>
      <c r="M46" s="192"/>
      <c r="N46" s="192"/>
    </row>
    <row r="47" spans="2:14" ht="12" customHeight="1">
      <c r="B47" s="53" t="s">
        <v>78</v>
      </c>
      <c r="C47" s="223" t="s">
        <v>150</v>
      </c>
      <c r="D47" s="223"/>
      <c r="E47" s="223"/>
      <c r="F47" s="249" t="s">
        <v>93</v>
      </c>
      <c r="G47" s="249"/>
      <c r="H47" s="53"/>
      <c r="I47" s="53"/>
      <c r="J47" s="2"/>
      <c r="K47" s="2"/>
      <c r="L47" s="2"/>
      <c r="M47" s="192"/>
      <c r="N47" s="192"/>
    </row>
    <row r="48" spans="2:14" ht="8.25" customHeight="1">
      <c r="B48" s="53"/>
      <c r="C48" s="54"/>
      <c r="D48" s="54"/>
      <c r="E48" s="222"/>
      <c r="F48" s="249"/>
      <c r="G48" s="249"/>
      <c r="H48" s="53"/>
      <c r="I48" s="53"/>
    </row>
    <row r="49" spans="2:9" ht="12.75" customHeight="1">
      <c r="B49" s="53" t="s">
        <v>79</v>
      </c>
      <c r="C49" s="223" t="s">
        <v>151</v>
      </c>
      <c r="D49" s="223"/>
      <c r="E49" s="223"/>
      <c r="F49" s="249" t="s">
        <v>176</v>
      </c>
      <c r="G49" s="249"/>
      <c r="H49" s="53"/>
      <c r="I49" s="53"/>
    </row>
    <row r="50" spans="2:9" ht="8.25" customHeight="1">
      <c r="B50" s="55"/>
      <c r="C50" s="56"/>
      <c r="D50" s="56"/>
      <c r="E50" s="222"/>
      <c r="F50" s="203"/>
      <c r="G50" s="55"/>
      <c r="H50" s="57"/>
      <c r="I50" s="6"/>
    </row>
    <row r="51" spans="2:9" ht="14.25" customHeight="1">
      <c r="B51" s="53" t="s">
        <v>80</v>
      </c>
      <c r="C51" s="223" t="s">
        <v>151</v>
      </c>
      <c r="D51" s="223"/>
      <c r="E51" s="223"/>
      <c r="F51" s="249" t="s">
        <v>176</v>
      </c>
      <c r="G51" s="249"/>
      <c r="H51" s="53"/>
      <c r="I51" s="53"/>
    </row>
    <row r="52" spans="2:9" ht="9.75" customHeight="1">
      <c r="C52" s="1"/>
      <c r="D52" s="1"/>
      <c r="E52" s="222"/>
      <c r="F52" s="248"/>
      <c r="G52" s="248"/>
      <c r="H52" s="3"/>
      <c r="I52" s="3"/>
    </row>
    <row r="53" spans="2:9">
      <c r="C53" s="1"/>
      <c r="D53" s="1"/>
      <c r="E53" s="15"/>
      <c r="F53" s="3"/>
      <c r="G53" s="3"/>
      <c r="H53" s="3"/>
    </row>
  </sheetData>
  <mergeCells count="58">
    <mergeCell ref="B2:H2"/>
    <mergeCell ref="B3:H3"/>
    <mergeCell ref="B4:H4"/>
    <mergeCell ref="B1:H1"/>
    <mergeCell ref="F48:G48"/>
    <mergeCell ref="E40:F40"/>
    <mergeCell ref="G43:H43"/>
    <mergeCell ref="F47:G47"/>
    <mergeCell ref="G40:H40"/>
    <mergeCell ref="G42:H42"/>
    <mergeCell ref="H24:H25"/>
    <mergeCell ref="B5:H6"/>
    <mergeCell ref="D8:E8"/>
    <mergeCell ref="B23:H23"/>
    <mergeCell ref="F24:G24"/>
    <mergeCell ref="E39:F39"/>
    <mergeCell ref="F52:G52"/>
    <mergeCell ref="F49:G49"/>
    <mergeCell ref="F51:G51"/>
    <mergeCell ref="C39:D39"/>
    <mergeCell ref="C40:D40"/>
    <mergeCell ref="C41:D41"/>
    <mergeCell ref="C42:D42"/>
    <mergeCell ref="C43:D43"/>
    <mergeCell ref="C45:E45"/>
    <mergeCell ref="C47:E47"/>
    <mergeCell ref="G39:H39"/>
    <mergeCell ref="E41:F41"/>
    <mergeCell ref="G41:H41"/>
    <mergeCell ref="F45:G45"/>
    <mergeCell ref="E42:F42"/>
    <mergeCell ref="E43:F43"/>
    <mergeCell ref="B24:B25"/>
    <mergeCell ref="C24:C25"/>
    <mergeCell ref="D24:D25"/>
    <mergeCell ref="E24:E25"/>
    <mergeCell ref="B38:H38"/>
    <mergeCell ref="B16:H16"/>
    <mergeCell ref="C17:D17"/>
    <mergeCell ref="E17:F17"/>
    <mergeCell ref="G17:H17"/>
    <mergeCell ref="C18:D18"/>
    <mergeCell ref="E18:F18"/>
    <mergeCell ref="G18:H18"/>
    <mergeCell ref="M23:M24"/>
    <mergeCell ref="N23:N24"/>
    <mergeCell ref="C19:D19"/>
    <mergeCell ref="E19:F19"/>
    <mergeCell ref="G19:H19"/>
    <mergeCell ref="C20:D20"/>
    <mergeCell ref="E20:F20"/>
    <mergeCell ref="G20:H20"/>
    <mergeCell ref="C49:E49"/>
    <mergeCell ref="C51:E51"/>
    <mergeCell ref="C21:D21"/>
    <mergeCell ref="E21:F21"/>
    <mergeCell ref="G21:H21"/>
    <mergeCell ref="F46:G46"/>
  </mergeCells>
  <printOptions horizontalCentered="1"/>
  <pageMargins left="0.19685039370078741" right="0.19685039370078741" top="0.15748031496062992" bottom="0.23622047244094491" header="0.15748031496062992" footer="0.24"/>
  <pageSetup paperSize="9" scale="4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0"/>
  <sheetViews>
    <sheetView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5703125" style="15" customWidth="1"/>
    <col min="4" max="4" width="8.42578125" style="3" customWidth="1"/>
    <col min="5" max="5" width="10" style="3" customWidth="1"/>
    <col min="6" max="6" width="9.7109375" style="1" customWidth="1"/>
    <col min="7" max="7" width="10.28515625" style="1" customWidth="1"/>
    <col min="8" max="8" width="10.5703125" style="1" customWidth="1"/>
    <col min="9" max="9" width="15" style="1" customWidth="1"/>
    <col min="10" max="10" width="14.28515625" style="1" customWidth="1"/>
    <col min="11" max="11" width="10" style="1" bestFit="1" customWidth="1"/>
    <col min="12" max="12" width="9.140625" style="1"/>
    <col min="13" max="13" width="19.85546875" style="188" customWidth="1"/>
    <col min="14" max="14" width="20.140625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155</v>
      </c>
      <c r="C3" s="253"/>
      <c r="D3" s="253"/>
      <c r="E3" s="253"/>
      <c r="F3" s="253"/>
      <c r="G3" s="253"/>
      <c r="H3" s="253"/>
    </row>
    <row r="4" spans="1:9">
      <c r="B4" s="253" t="s">
        <v>179</v>
      </c>
      <c r="C4" s="253"/>
      <c r="D4" s="253"/>
      <c r="E4" s="253"/>
      <c r="F4" s="253"/>
      <c r="G4" s="253"/>
      <c r="H4" s="253"/>
    </row>
    <row r="5" spans="1:9" ht="19.5" customHeight="1">
      <c r="A5" s="68"/>
      <c r="B5" s="254" t="s">
        <v>180</v>
      </c>
      <c r="C5" s="254"/>
      <c r="D5" s="254"/>
      <c r="E5" s="254"/>
      <c r="F5" s="254"/>
      <c r="G5" s="254"/>
      <c r="H5" s="254"/>
    </row>
    <row r="6" spans="1:9" ht="20.25" customHeight="1">
      <c r="A6" s="68"/>
      <c r="B6" s="254"/>
      <c r="C6" s="254"/>
      <c r="D6" s="254"/>
      <c r="E6" s="254"/>
      <c r="F6" s="254"/>
      <c r="G6" s="254"/>
      <c r="H6" s="254"/>
    </row>
    <row r="7" spans="1:9" ht="8.25" customHeight="1"/>
    <row r="8" spans="1:9">
      <c r="B8" s="6" t="s">
        <v>0</v>
      </c>
      <c r="C8" s="58"/>
      <c r="D8" s="273" t="s">
        <v>21</v>
      </c>
      <c r="E8" s="273"/>
    </row>
    <row r="9" spans="1:9">
      <c r="B9" s="6" t="s">
        <v>1</v>
      </c>
      <c r="C9" s="58"/>
      <c r="D9" s="215">
        <v>1963</v>
      </c>
      <c r="E9" s="215"/>
    </row>
    <row r="10" spans="1:9" hidden="1" outlineLevel="1">
      <c r="B10" s="6" t="s">
        <v>2</v>
      </c>
      <c r="C10" s="58"/>
      <c r="D10" s="215">
        <v>4</v>
      </c>
      <c r="E10" s="215"/>
    </row>
    <row r="11" spans="1:9" hidden="1" outlineLevel="1">
      <c r="B11" s="6" t="s">
        <v>3</v>
      </c>
      <c r="C11" s="58"/>
      <c r="D11" s="215">
        <v>48</v>
      </c>
      <c r="E11" s="215"/>
    </row>
    <row r="12" spans="1:9" ht="30.75" hidden="1" customHeight="1" outlineLevel="1">
      <c r="B12" s="59" t="s">
        <v>4</v>
      </c>
      <c r="C12" s="60"/>
      <c r="D12" s="215" t="s">
        <v>22</v>
      </c>
      <c r="E12" s="215"/>
    </row>
    <row r="13" spans="1:9" collapsed="1">
      <c r="B13" s="6" t="s">
        <v>5</v>
      </c>
      <c r="C13" s="58"/>
      <c r="D13" s="215" t="s">
        <v>104</v>
      </c>
      <c r="E13" s="215"/>
      <c r="I13" s="5"/>
    </row>
    <row r="14" spans="1:9" hidden="1" outlineLevel="1">
      <c r="B14" s="1" t="s">
        <v>6</v>
      </c>
      <c r="D14" s="162" t="s">
        <v>23</v>
      </c>
      <c r="E14" s="162"/>
    </row>
    <row r="15" spans="1:9" ht="30.75" hidden="1" customHeight="1" outlineLevel="1">
      <c r="B15" s="16" t="s">
        <v>8</v>
      </c>
      <c r="C15" s="17"/>
      <c r="D15" s="214" t="s">
        <v>24</v>
      </c>
      <c r="E15" s="162"/>
      <c r="I15" s="5"/>
    </row>
    <row r="16" spans="1:9" ht="15.75" customHeight="1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7.2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 ht="15.75" customHeight="1">
      <c r="B18" s="156" t="s">
        <v>11</v>
      </c>
      <c r="C18" s="266">
        <v>2891000.2399796611</v>
      </c>
      <c r="D18" s="271"/>
      <c r="E18" s="266">
        <v>2030774.7000203391</v>
      </c>
      <c r="F18" s="271"/>
      <c r="G18" s="266">
        <v>860225.53995932196</v>
      </c>
      <c r="H18" s="272"/>
      <c r="I18" s="5"/>
    </row>
    <row r="19" spans="2:14" ht="15.75" customHeight="1">
      <c r="B19" s="157" t="s">
        <v>12</v>
      </c>
      <c r="C19" s="230">
        <v>2773826.52</v>
      </c>
      <c r="D19" s="268"/>
      <c r="E19" s="230">
        <v>1946538.4304135591</v>
      </c>
      <c r="F19" s="231"/>
      <c r="G19" s="230">
        <v>827288.08958644094</v>
      </c>
      <c r="H19" s="241"/>
      <c r="I19" s="5"/>
    </row>
    <row r="20" spans="2:14" ht="15.75" customHeight="1" thickBot="1">
      <c r="B20" s="158" t="s">
        <v>88</v>
      </c>
      <c r="C20" s="269">
        <v>2703155.1748300004</v>
      </c>
      <c r="D20" s="270"/>
      <c r="E20" s="232">
        <v>2056520.1748300004</v>
      </c>
      <c r="F20" s="233"/>
      <c r="G20" s="232">
        <v>646635</v>
      </c>
      <c r="H20" s="242"/>
      <c r="I20" s="5"/>
    </row>
    <row r="21" spans="2:14" ht="30.75" customHeight="1" thickBot="1">
      <c r="B21" s="159" t="s">
        <v>146</v>
      </c>
      <c r="C21" s="234">
        <f>E21+G21</f>
        <v>70671.345169999637</v>
      </c>
      <c r="D21" s="235"/>
      <c r="E21" s="245">
        <f>E19-E20</f>
        <v>-109981.7444164413</v>
      </c>
      <c r="F21" s="246"/>
      <c r="G21" s="245">
        <f>G19-G20</f>
        <v>180653.08958644094</v>
      </c>
      <c r="H21" s="247"/>
      <c r="I21" s="5"/>
    </row>
    <row r="22" spans="2:14" ht="12" customHeight="1">
      <c r="B22" s="16"/>
      <c r="C22" s="17"/>
      <c r="D22" s="214"/>
      <c r="E22" s="162"/>
      <c r="I22" s="5"/>
    </row>
    <row r="23" spans="2:14" ht="31.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1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s="209" customFormat="1" ht="46.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"/>
      <c r="J25" s="1"/>
      <c r="K25" s="1"/>
      <c r="L25" s="1"/>
      <c r="M25" s="191">
        <v>228788.33</v>
      </c>
      <c r="N25" s="189">
        <f>M25*1.05</f>
        <v>240227.74650000001</v>
      </c>
    </row>
    <row r="26" spans="2:14" s="2" customFormat="1" ht="39" customHeight="1">
      <c r="B26" s="20" t="s">
        <v>86</v>
      </c>
      <c r="C26" s="21" t="s">
        <v>97</v>
      </c>
      <c r="D26" s="22" t="s">
        <v>98</v>
      </c>
      <c r="E26" s="23">
        <v>1.05</v>
      </c>
      <c r="F26" s="24">
        <f>$M$25/$M$26*E26</f>
        <v>23927.066384462152</v>
      </c>
      <c r="G26" s="25">
        <f>$N$25/$N$26*E26</f>
        <v>25123.419703685264</v>
      </c>
      <c r="H26" s="26">
        <f>F26-G26</f>
        <v>-1196.3533192231116</v>
      </c>
      <c r="I26" s="27"/>
      <c r="J26" s="209"/>
      <c r="K26" s="209"/>
      <c r="L26" s="28"/>
      <c r="M26" s="191">
        <f>E35-E33</f>
        <v>10.039999999999999</v>
      </c>
      <c r="N26" s="191">
        <f>E35-E33</f>
        <v>10.039999999999999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1.17</v>
      </c>
      <c r="F27" s="24">
        <f t="shared" ref="F27:F34" si="0">$M$25/$M$26*E27</f>
        <v>26661.588256972111</v>
      </c>
      <c r="G27" s="25">
        <f t="shared" ref="G27:G31" si="1">$N$25/$N$26*E27</f>
        <v>27994.667669820719</v>
      </c>
      <c r="H27" s="26">
        <f t="shared" ref="H27:H32" si="2">F27-G27</f>
        <v>-1333.0794128486086</v>
      </c>
      <c r="I27" s="32"/>
      <c r="J27" s="2"/>
      <c r="K27" s="2"/>
      <c r="L27" s="6" t="s">
        <v>133</v>
      </c>
      <c r="M27" s="194">
        <f>M28/14.75*M26</f>
        <v>0</v>
      </c>
      <c r="N27" s="194">
        <f>N28/14.75*N26</f>
        <v>0</v>
      </c>
    </row>
    <row r="28" spans="2:14" ht="30.75" customHeight="1">
      <c r="B28" s="33" t="s">
        <v>83</v>
      </c>
      <c r="C28" s="21" t="s">
        <v>97</v>
      </c>
      <c r="D28" s="22" t="s">
        <v>98</v>
      </c>
      <c r="E28" s="30">
        <v>0.27</v>
      </c>
      <c r="F28" s="24">
        <f t="shared" si="0"/>
        <v>6152.6742131474111</v>
      </c>
      <c r="G28" s="25">
        <f t="shared" si="1"/>
        <v>6460.3079238047821</v>
      </c>
      <c r="H28" s="26">
        <f t="shared" si="2"/>
        <v>-307.63371065737101</v>
      </c>
      <c r="I28" s="34"/>
      <c r="L28" s="6" t="s">
        <v>131</v>
      </c>
      <c r="M28" s="195"/>
      <c r="N28" s="195"/>
    </row>
    <row r="29" spans="2:14" ht="25.5">
      <c r="B29" s="33" t="s">
        <v>84</v>
      </c>
      <c r="C29" s="35" t="s">
        <v>99</v>
      </c>
      <c r="D29" s="22" t="s">
        <v>98</v>
      </c>
      <c r="E29" s="30">
        <v>0.24</v>
      </c>
      <c r="F29" s="24">
        <f t="shared" si="0"/>
        <v>5469.0437450199206</v>
      </c>
      <c r="G29" s="25">
        <f t="shared" si="1"/>
        <v>5742.4959322709174</v>
      </c>
      <c r="H29" s="26">
        <f t="shared" si="2"/>
        <v>-273.45218725099676</v>
      </c>
      <c r="I29" s="34"/>
      <c r="L29" s="7" t="s">
        <v>134</v>
      </c>
      <c r="M29" s="194">
        <f>M28/14.75*E33</f>
        <v>0</v>
      </c>
      <c r="N29" s="194">
        <f>N28/14.75*E33</f>
        <v>0</v>
      </c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26889.465079681275</v>
      </c>
      <c r="G30" s="25">
        <f t="shared" si="1"/>
        <v>28233.938333665341</v>
      </c>
      <c r="H30" s="26">
        <f t="shared" si="2"/>
        <v>-1344.4732539840661</v>
      </c>
      <c r="I30" s="34"/>
    </row>
    <row r="31" spans="2:14" s="2" customFormat="1" ht="214.5" customHeight="1">
      <c r="B31" s="29" t="s">
        <v>121</v>
      </c>
      <c r="C31" s="21" t="s">
        <v>100</v>
      </c>
      <c r="D31" s="22" t="s">
        <v>98</v>
      </c>
      <c r="E31" s="30">
        <v>5.5</v>
      </c>
      <c r="F31" s="24">
        <f t="shared" si="0"/>
        <v>125332.25249003984</v>
      </c>
      <c r="G31" s="25">
        <f t="shared" si="1"/>
        <v>131598.86511454187</v>
      </c>
      <c r="H31" s="26">
        <f t="shared" si="2"/>
        <v>-6266.6126245020278</v>
      </c>
      <c r="I31" s="32"/>
      <c r="L31" s="4"/>
      <c r="M31" s="192"/>
      <c r="N31" s="192"/>
    </row>
    <row r="32" spans="2:14" ht="10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5469.0437450199206</v>
      </c>
      <c r="G32" s="25">
        <f t="shared" ref="G32" si="3">$N$25/$N$26*E32</f>
        <v>5742.4959322709174</v>
      </c>
      <c r="H32" s="26">
        <f t="shared" si="2"/>
        <v>-273.45218725099676</v>
      </c>
      <c r="I32" s="34"/>
    </row>
    <row r="33" spans="2:14" ht="29.25" customHeight="1">
      <c r="B33" s="33" t="s">
        <v>91</v>
      </c>
      <c r="C33" s="21" t="s">
        <v>97</v>
      </c>
      <c r="D33" s="22" t="s">
        <v>98</v>
      </c>
      <c r="E33" s="30">
        <v>4.71</v>
      </c>
      <c r="F33" s="24">
        <v>107329.99</v>
      </c>
      <c r="G33" s="31">
        <v>121796</v>
      </c>
      <c r="H33" s="26">
        <f>F33-G33</f>
        <v>-14466.009999999995</v>
      </c>
      <c r="I33" s="34"/>
      <c r="L33" s="5"/>
    </row>
    <row r="34" spans="2:14" s="67" customFormat="1" ht="16.5" thickBot="1">
      <c r="B34" s="63" t="s">
        <v>85</v>
      </c>
      <c r="C34" s="37" t="s">
        <v>100</v>
      </c>
      <c r="D34" s="38" t="s">
        <v>98</v>
      </c>
      <c r="E34" s="39">
        <v>0.39</v>
      </c>
      <c r="F34" s="24">
        <f t="shared" si="0"/>
        <v>8887.1960856573714</v>
      </c>
      <c r="G34" s="25">
        <f t="shared" ref="G34" si="4">$N$25/$N$26*E34</f>
        <v>9331.5558899402404</v>
      </c>
      <c r="H34" s="26">
        <f>F34-G34</f>
        <v>-444.35980428286894</v>
      </c>
      <c r="I34" s="34"/>
      <c r="J34" s="1"/>
      <c r="K34" s="1"/>
      <c r="L34" s="1"/>
      <c r="M34" s="188"/>
      <c r="N34" s="188"/>
    </row>
    <row r="35" spans="2:14" s="3" customFormat="1" ht="16.5" thickBot="1">
      <c r="B35" s="40" t="s">
        <v>89</v>
      </c>
      <c r="C35" s="41"/>
      <c r="D35" s="41"/>
      <c r="E35" s="42">
        <f>SUM(E26:E34)</f>
        <v>14.75</v>
      </c>
      <c r="F35" s="43">
        <f>SUM(F26:F34)</f>
        <v>336118.31999999995</v>
      </c>
      <c r="G35" s="44">
        <f>SUM(G26:G34)</f>
        <v>362023.74650000001</v>
      </c>
      <c r="H35" s="45">
        <f>SUM(H26:H34)</f>
        <v>-25905.426500000045</v>
      </c>
      <c r="I35" s="66"/>
      <c r="J35" s="1"/>
      <c r="K35" s="1"/>
      <c r="L35" s="1"/>
      <c r="M35" s="188"/>
      <c r="N35" s="188"/>
    </row>
    <row r="36" spans="2:14">
      <c r="B36" s="5"/>
      <c r="C36" s="5"/>
      <c r="D36" s="5"/>
      <c r="E36" s="15"/>
      <c r="F36" s="3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1.2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3227118.5599796609</v>
      </c>
      <c r="D39" s="229"/>
      <c r="E39" s="228">
        <f>F26+F27+F28+F29+F30+F31+F32+F34+E18</f>
        <v>2259563.0300203389</v>
      </c>
      <c r="F39" s="229"/>
      <c r="G39" s="228">
        <f>F33+G18</f>
        <v>967555.52995932195</v>
      </c>
      <c r="H39" s="244"/>
      <c r="I39" s="165"/>
      <c r="J39" s="166"/>
      <c r="K39" s="50"/>
      <c r="L39" s="50"/>
      <c r="M39" s="194"/>
    </row>
    <row r="40" spans="2:14" s="2" customFormat="1">
      <c r="B40" s="157" t="s">
        <v>12</v>
      </c>
      <c r="C40" s="230">
        <f>E40+G40</f>
        <v>3077821.38</v>
      </c>
      <c r="D40" s="231"/>
      <c r="E40" s="230">
        <f>E19+N27+206922.53</f>
        <v>2153460.9604135589</v>
      </c>
      <c r="F40" s="231"/>
      <c r="G40" s="230">
        <f>G19+N29+97072.33</f>
        <v>924360.4195864409</v>
      </c>
      <c r="H40" s="241"/>
      <c r="I40" s="165"/>
      <c r="J40" s="167"/>
      <c r="K40" s="52"/>
      <c r="L40" s="50"/>
      <c r="M40" s="194"/>
      <c r="N40" s="188"/>
    </row>
    <row r="41" spans="2:14" s="2" customFormat="1" ht="16.5" thickBot="1">
      <c r="B41" s="158" t="s">
        <v>88</v>
      </c>
      <c r="C41" s="232">
        <f>E41+G41</f>
        <v>3065178.9213300003</v>
      </c>
      <c r="D41" s="233"/>
      <c r="E41" s="232">
        <f>G26+G27+G28+G29+G30+G31+G32+G34+E20</f>
        <v>2296747.9213300003</v>
      </c>
      <c r="F41" s="233"/>
      <c r="G41" s="232">
        <f>G33+G20</f>
        <v>768431</v>
      </c>
      <c r="H41" s="242"/>
      <c r="I41" s="165"/>
      <c r="J41" s="49"/>
      <c r="K41" s="34"/>
      <c r="L41" s="34"/>
      <c r="M41" s="188"/>
      <c r="N41" s="188"/>
    </row>
    <row r="42" spans="2:14" s="2" customFormat="1" ht="27" customHeight="1" thickBot="1">
      <c r="B42" s="159" t="s">
        <v>147</v>
      </c>
      <c r="C42" s="234">
        <f>E42+G42</f>
        <v>12642.458669999498</v>
      </c>
      <c r="D42" s="235"/>
      <c r="E42" s="245">
        <f>E40-E41</f>
        <v>-143286.9609164414</v>
      </c>
      <c r="F42" s="246"/>
      <c r="G42" s="245">
        <f>G40-G41</f>
        <v>155929.4195864409</v>
      </c>
      <c r="H42" s="247"/>
      <c r="I42" s="168"/>
      <c r="J42" s="153"/>
      <c r="K42" s="34"/>
      <c r="L42" s="34"/>
      <c r="M42" s="188"/>
      <c r="N42" s="188"/>
    </row>
    <row r="43" spans="2:14" ht="15.75" customHeight="1">
      <c r="B43" s="79"/>
      <c r="C43" s="151"/>
      <c r="D43" s="151"/>
      <c r="E43" s="153"/>
      <c r="F43" s="153"/>
      <c r="G43" s="153"/>
      <c r="H43" s="153"/>
      <c r="I43" s="53"/>
      <c r="J43" s="2"/>
      <c r="K43" s="2"/>
      <c r="L43" s="2"/>
      <c r="M43" s="192"/>
      <c r="N43" s="192"/>
    </row>
    <row r="44" spans="2:14" ht="18.7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53"/>
      <c r="J44" s="2"/>
      <c r="K44" s="2"/>
      <c r="L44" s="2"/>
      <c r="M44" s="192"/>
      <c r="N44" s="192"/>
    </row>
    <row r="45" spans="2:14" ht="7.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4.2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9" customHeight="1">
      <c r="B47" s="53"/>
      <c r="C47" s="54"/>
      <c r="D47" s="54"/>
      <c r="E47" s="222"/>
      <c r="F47" s="249"/>
      <c r="G47" s="249"/>
      <c r="H47" s="53"/>
      <c r="I47" s="53"/>
    </row>
    <row r="48" spans="2:14" ht="12.7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9" customHeight="1">
      <c r="B49" s="55"/>
      <c r="C49" s="56"/>
      <c r="D49" s="56"/>
      <c r="E49" s="222"/>
      <c r="F49" s="203"/>
      <c r="G49" s="55"/>
      <c r="H49" s="57"/>
      <c r="I49" s="53"/>
    </row>
    <row r="50" spans="2:9" ht="15.7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3"/>
    </row>
  </sheetData>
  <mergeCells count="57">
    <mergeCell ref="B1:H1"/>
    <mergeCell ref="F44:G44"/>
    <mergeCell ref="G40:H40"/>
    <mergeCell ref="G41:H41"/>
    <mergeCell ref="G42:H42"/>
    <mergeCell ref="E40:F40"/>
    <mergeCell ref="E41:F41"/>
    <mergeCell ref="E42:F42"/>
    <mergeCell ref="D8:E8"/>
    <mergeCell ref="B2:H2"/>
    <mergeCell ref="B3:H3"/>
    <mergeCell ref="D24:D25"/>
    <mergeCell ref="B4:H4"/>
    <mergeCell ref="B5:H6"/>
    <mergeCell ref="B37:H37"/>
    <mergeCell ref="E38:F38"/>
    <mergeCell ref="G39:H39"/>
    <mergeCell ref="E24:E25"/>
    <mergeCell ref="F24:G24"/>
    <mergeCell ref="B23:H23"/>
    <mergeCell ref="H24:H25"/>
    <mergeCell ref="B24:B25"/>
    <mergeCell ref="C24:C25"/>
    <mergeCell ref="E39:F39"/>
    <mergeCell ref="C38:D38"/>
    <mergeCell ref="C39:D39"/>
    <mergeCell ref="G38:H38"/>
    <mergeCell ref="C19:D19"/>
    <mergeCell ref="E19:F19"/>
    <mergeCell ref="G19:H19"/>
    <mergeCell ref="C20:D20"/>
    <mergeCell ref="E20:F20"/>
    <mergeCell ref="G20:H20"/>
    <mergeCell ref="B16:H16"/>
    <mergeCell ref="C17:D17"/>
    <mergeCell ref="E17:F17"/>
    <mergeCell ref="G17:H17"/>
    <mergeCell ref="C18:D18"/>
    <mergeCell ref="E18:F18"/>
    <mergeCell ref="G18:H18"/>
    <mergeCell ref="C21:D21"/>
    <mergeCell ref="E21:F21"/>
    <mergeCell ref="G21:H21"/>
    <mergeCell ref="M23:M24"/>
    <mergeCell ref="N23:N24"/>
    <mergeCell ref="C48:E48"/>
    <mergeCell ref="F48:G48"/>
    <mergeCell ref="C50:E50"/>
    <mergeCell ref="C40:D40"/>
    <mergeCell ref="C41:D41"/>
    <mergeCell ref="C42:D42"/>
    <mergeCell ref="C44:E44"/>
    <mergeCell ref="C46:E46"/>
    <mergeCell ref="F50:G50"/>
    <mergeCell ref="F47:G47"/>
    <mergeCell ref="F45:G45"/>
    <mergeCell ref="F46:G46"/>
  </mergeCells>
  <printOptions horizontalCentered="1"/>
  <pageMargins left="0.19685039370078741" right="0.19685039370078741" top="0.15748031496062992" bottom="0.14000000000000001" header="0.16" footer="0.15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0"/>
  <sheetViews>
    <sheetView tabSelected="1" topLeftCell="A22" zoomScale="110" zoomScaleNormal="110" workbookViewId="0">
      <selection activeCell="G42" sqref="G42:H42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42578125" style="15" customWidth="1"/>
    <col min="4" max="4" width="8.7109375" style="3" customWidth="1"/>
    <col min="5" max="5" width="10.42578125" style="3" customWidth="1"/>
    <col min="6" max="6" width="10.140625" style="1" customWidth="1"/>
    <col min="7" max="7" width="10.28515625" style="1" customWidth="1"/>
    <col min="8" max="8" width="10.5703125" style="1" customWidth="1"/>
    <col min="9" max="9" width="15" style="1" customWidth="1"/>
    <col min="10" max="10" width="13.85546875" style="1" customWidth="1"/>
    <col min="11" max="12" width="9.140625" style="1"/>
    <col min="13" max="13" width="19.140625" style="188" customWidth="1"/>
    <col min="14" max="14" width="17.5703125" style="188" customWidth="1"/>
    <col min="15" max="16384" width="9.140625" style="1"/>
  </cols>
  <sheetData>
    <row r="1" spans="1:9">
      <c r="B1" s="253" t="s">
        <v>119</v>
      </c>
      <c r="C1" s="253"/>
      <c r="D1" s="253"/>
      <c r="E1" s="253"/>
      <c r="F1" s="253"/>
      <c r="G1" s="253"/>
      <c r="H1" s="253"/>
    </row>
    <row r="2" spans="1:9">
      <c r="B2" s="253" t="s">
        <v>120</v>
      </c>
      <c r="C2" s="253"/>
      <c r="D2" s="253"/>
      <c r="E2" s="253"/>
      <c r="F2" s="253"/>
      <c r="G2" s="253"/>
      <c r="H2" s="253"/>
    </row>
    <row r="3" spans="1:9">
      <c r="B3" s="253" t="s">
        <v>156</v>
      </c>
      <c r="C3" s="253"/>
      <c r="D3" s="253"/>
      <c r="E3" s="253"/>
      <c r="F3" s="253"/>
      <c r="G3" s="253"/>
      <c r="H3" s="253"/>
    </row>
    <row r="4" spans="1:9">
      <c r="B4" s="253" t="s">
        <v>179</v>
      </c>
      <c r="C4" s="253"/>
      <c r="D4" s="253"/>
      <c r="E4" s="253"/>
      <c r="F4" s="253"/>
      <c r="G4" s="253"/>
      <c r="H4" s="253"/>
    </row>
    <row r="5" spans="1:9" ht="23.25" customHeight="1">
      <c r="A5" s="68"/>
      <c r="B5" s="254" t="s">
        <v>180</v>
      </c>
      <c r="C5" s="254"/>
      <c r="D5" s="254"/>
      <c r="E5" s="254"/>
      <c r="F5" s="254"/>
      <c r="G5" s="254"/>
      <c r="H5" s="254"/>
    </row>
    <row r="6" spans="1:9" ht="20.25" customHeight="1">
      <c r="A6" s="68"/>
      <c r="B6" s="254"/>
      <c r="C6" s="254"/>
      <c r="D6" s="254"/>
      <c r="E6" s="254"/>
      <c r="F6" s="254"/>
      <c r="G6" s="254"/>
      <c r="H6" s="254"/>
    </row>
    <row r="7" spans="1:9" ht="8.25" customHeight="1"/>
    <row r="8" spans="1:9">
      <c r="B8" s="169" t="s">
        <v>0</v>
      </c>
      <c r="C8" s="170"/>
      <c r="D8" s="261" t="s">
        <v>25</v>
      </c>
      <c r="E8" s="261"/>
    </row>
    <row r="9" spans="1:9">
      <c r="B9" s="169" t="s">
        <v>1</v>
      </c>
      <c r="C9" s="170"/>
      <c r="D9" s="213">
        <v>1965</v>
      </c>
      <c r="E9" s="213"/>
    </row>
    <row r="10" spans="1:9" hidden="1" outlineLevel="1">
      <c r="B10" s="169" t="s">
        <v>2</v>
      </c>
      <c r="C10" s="170"/>
      <c r="D10" s="213">
        <v>4</v>
      </c>
      <c r="E10" s="213"/>
    </row>
    <row r="11" spans="1:9" hidden="1" outlineLevel="1">
      <c r="B11" s="169" t="s">
        <v>3</v>
      </c>
      <c r="C11" s="170"/>
      <c r="D11" s="213">
        <v>48</v>
      </c>
      <c r="E11" s="213"/>
    </row>
    <row r="12" spans="1:9" ht="30.75" hidden="1" customHeight="1" outlineLevel="1">
      <c r="B12" s="171" t="s">
        <v>4</v>
      </c>
      <c r="C12" s="172"/>
      <c r="D12" s="213" t="s">
        <v>26</v>
      </c>
      <c r="E12" s="213"/>
    </row>
    <row r="13" spans="1:9" collapsed="1">
      <c r="B13" s="169" t="s">
        <v>5</v>
      </c>
      <c r="C13" s="170"/>
      <c r="D13" s="213" t="s">
        <v>105</v>
      </c>
      <c r="E13" s="213"/>
      <c r="I13" s="5"/>
    </row>
    <row r="14" spans="1:9" hidden="1" outlineLevel="1">
      <c r="B14" s="1" t="s">
        <v>6</v>
      </c>
      <c r="D14" s="162" t="s">
        <v>7</v>
      </c>
      <c r="E14" s="162"/>
    </row>
    <row r="15" spans="1:9" ht="30.75" hidden="1" customHeight="1" outlineLevel="1">
      <c r="B15" s="16" t="s">
        <v>8</v>
      </c>
      <c r="C15" s="17"/>
      <c r="D15" s="214" t="s">
        <v>27</v>
      </c>
      <c r="E15" s="162"/>
      <c r="I15" s="5"/>
    </row>
    <row r="16" spans="1:9" ht="18.75" customHeight="1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</row>
    <row r="17" spans="2:14" ht="42.7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</row>
    <row r="18" spans="2:14">
      <c r="B18" s="156" t="s">
        <v>11</v>
      </c>
      <c r="C18" s="266">
        <v>3160600.9000000004</v>
      </c>
      <c r="D18" s="267"/>
      <c r="E18" s="228">
        <v>2308169.9300000006</v>
      </c>
      <c r="F18" s="229"/>
      <c r="G18" s="228">
        <v>852430.96999999986</v>
      </c>
      <c r="H18" s="244"/>
      <c r="I18" s="5"/>
    </row>
    <row r="19" spans="2:14">
      <c r="B19" s="157" t="s">
        <v>12</v>
      </c>
      <c r="C19" s="230">
        <v>3025482.07</v>
      </c>
      <c r="D19" s="268"/>
      <c r="E19" s="230">
        <v>2212837.27</v>
      </c>
      <c r="F19" s="231"/>
      <c r="G19" s="230">
        <v>812644.79999999993</v>
      </c>
      <c r="H19" s="241"/>
      <c r="I19" s="5"/>
    </row>
    <row r="20" spans="2:14" ht="16.5" thickBot="1">
      <c r="B20" s="158" t="s">
        <v>88</v>
      </c>
      <c r="C20" s="269">
        <v>2923038.0477</v>
      </c>
      <c r="D20" s="270"/>
      <c r="E20" s="232">
        <v>2317931.0477</v>
      </c>
      <c r="F20" s="233"/>
      <c r="G20" s="232">
        <v>605107</v>
      </c>
      <c r="H20" s="242"/>
      <c r="I20" s="5"/>
    </row>
    <row r="21" spans="2:14" ht="28.5" customHeight="1" thickBot="1">
      <c r="B21" s="159" t="s">
        <v>146</v>
      </c>
      <c r="C21" s="234">
        <f>E21+G21</f>
        <v>102444.02229999995</v>
      </c>
      <c r="D21" s="235"/>
      <c r="E21" s="245">
        <f>E19-E20</f>
        <v>-105093.77769999998</v>
      </c>
      <c r="F21" s="246"/>
      <c r="G21" s="245">
        <f>G19-G20</f>
        <v>207537.79999999993</v>
      </c>
      <c r="H21" s="247"/>
      <c r="I21" s="5"/>
    </row>
    <row r="22" spans="2:14" ht="12.75" customHeight="1">
      <c r="B22" s="160"/>
      <c r="C22" s="161"/>
      <c r="D22" s="161"/>
      <c r="E22" s="152"/>
      <c r="F22" s="152"/>
      <c r="G22" s="152"/>
      <c r="H22" s="152"/>
      <c r="I22" s="5"/>
    </row>
    <row r="23" spans="2:14" ht="30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s="209" customFormat="1" ht="31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I24" s="1"/>
      <c r="J24" s="1"/>
      <c r="K24" s="1"/>
      <c r="L24" s="5"/>
      <c r="M24" s="225"/>
      <c r="N24" s="225"/>
    </row>
    <row r="25" spans="2:14" s="2" customFormat="1" ht="40.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"/>
      <c r="J25" s="1"/>
      <c r="K25" s="1"/>
      <c r="L25" s="1"/>
      <c r="M25" s="189">
        <v>257722.54</v>
      </c>
      <c r="N25" s="189">
        <f>M25*1.05</f>
        <v>270608.66700000002</v>
      </c>
    </row>
    <row r="26" spans="2:14" ht="40.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25248.234048059159</v>
      </c>
      <c r="G26" s="25">
        <f>$N$25/$N$26*E26</f>
        <v>26510.645750462118</v>
      </c>
      <c r="H26" s="26">
        <f>F26-G26</f>
        <v>-1262.4117024029583</v>
      </c>
      <c r="I26" s="27"/>
      <c r="J26" s="209"/>
      <c r="K26" s="209"/>
      <c r="L26" s="28"/>
      <c r="M26" s="191">
        <f>E35-E33</f>
        <v>10.819999999999997</v>
      </c>
      <c r="N26" s="191">
        <f>E35-E33</f>
        <v>10.819999999999997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28344.715582255092</v>
      </c>
      <c r="G27" s="25">
        <f t="shared" ref="G27:G31" si="1">$N$25/$N$26*E27</f>
        <v>29761.951361367846</v>
      </c>
      <c r="H27" s="26">
        <f t="shared" ref="H27:H32" si="2">F27-G27</f>
        <v>-1417.2357791127542</v>
      </c>
      <c r="I27" s="32"/>
      <c r="J27" s="2"/>
      <c r="K27" s="2"/>
      <c r="L27" s="2"/>
      <c r="M27" s="192"/>
      <c r="N27" s="192"/>
    </row>
    <row r="28" spans="2:14" ht="30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7622.1083918669156</v>
      </c>
      <c r="G28" s="25">
        <f t="shared" si="1"/>
        <v>8003.2138114602621</v>
      </c>
      <c r="H28" s="26">
        <f t="shared" si="2"/>
        <v>-381.1054195933466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0.27</v>
      </c>
      <c r="F29" s="24">
        <f t="shared" si="0"/>
        <v>6431.1539556377102</v>
      </c>
      <c r="G29" s="25">
        <f t="shared" si="1"/>
        <v>6752.7116534195966</v>
      </c>
      <c r="H29" s="26">
        <f t="shared" si="2"/>
        <v>-321.55769778188642</v>
      </c>
      <c r="I29" s="34"/>
      <c r="L29" s="5"/>
    </row>
    <row r="30" spans="2:14" s="2" customFormat="1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28106.524695009251</v>
      </c>
      <c r="G30" s="25">
        <f t="shared" si="1"/>
        <v>29511.850929759716</v>
      </c>
      <c r="H30" s="26">
        <f t="shared" si="2"/>
        <v>-1405.3262347504642</v>
      </c>
      <c r="I30" s="34"/>
      <c r="J30" s="1"/>
      <c r="K30" s="1"/>
      <c r="L30" s="1"/>
      <c r="M30" s="188"/>
      <c r="N30" s="188"/>
    </row>
    <row r="31" spans="2:14" ht="213.7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133625.08774491688</v>
      </c>
      <c r="G31" s="25">
        <f t="shared" si="1"/>
        <v>140306.34213216274</v>
      </c>
      <c r="H31" s="26">
        <f t="shared" si="2"/>
        <v>-6681.2543872458627</v>
      </c>
      <c r="I31" s="32"/>
      <c r="J31" s="2"/>
      <c r="K31" s="2"/>
      <c r="L31" s="4"/>
      <c r="M31" s="192"/>
      <c r="N31" s="192"/>
    </row>
    <row r="32" spans="2:14" ht="105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5716.5812939001862</v>
      </c>
      <c r="G32" s="25">
        <f t="shared" ref="G32" si="3">$N$25/$N$26*E32</f>
        <v>6002.4103585951962</v>
      </c>
      <c r="H32" s="26">
        <f t="shared" si="2"/>
        <v>-285.82906469500995</v>
      </c>
      <c r="I32" s="34"/>
    </row>
    <row r="33" spans="2:14" ht="27.75" customHeight="1">
      <c r="B33" s="33" t="s">
        <v>91</v>
      </c>
      <c r="C33" s="21" t="s">
        <v>97</v>
      </c>
      <c r="D33" s="22" t="s">
        <v>98</v>
      </c>
      <c r="E33" s="30">
        <v>4.3</v>
      </c>
      <c r="F33" s="24">
        <v>102422.08</v>
      </c>
      <c r="G33" s="31">
        <v>121434</v>
      </c>
      <c r="H33" s="26">
        <f>F33-G33</f>
        <v>-19011.919999999998</v>
      </c>
      <c r="I33" s="34"/>
      <c r="L33" s="5"/>
    </row>
    <row r="34" spans="2:14" s="67" customFormat="1" ht="18" customHeight="1" thickBot="1">
      <c r="B34" s="63" t="s">
        <v>85</v>
      </c>
      <c r="C34" s="37" t="s">
        <v>100</v>
      </c>
      <c r="D34" s="38" t="s">
        <v>98</v>
      </c>
      <c r="E34" s="39">
        <v>0.95</v>
      </c>
      <c r="F34" s="24">
        <f t="shared" si="0"/>
        <v>22628.134288354904</v>
      </c>
      <c r="G34" s="25">
        <f t="shared" ref="G34" si="4">$N$25/$N$26*E34</f>
        <v>23759.54100277265</v>
      </c>
      <c r="H34" s="26">
        <f>F34-G34</f>
        <v>-1131.4067144177461</v>
      </c>
      <c r="I34" s="34"/>
      <c r="J34" s="1"/>
      <c r="K34" s="1"/>
      <c r="L34" s="1"/>
      <c r="M34" s="188"/>
      <c r="N34" s="188"/>
    </row>
    <row r="35" spans="2:14" s="3" customFormat="1" ht="16.5" thickBot="1">
      <c r="B35" s="40" t="s">
        <v>89</v>
      </c>
      <c r="C35" s="41"/>
      <c r="D35" s="41"/>
      <c r="E35" s="42">
        <f>SUM(E26:E34)</f>
        <v>15.119999999999997</v>
      </c>
      <c r="F35" s="43">
        <f>SUM(F26:F34)</f>
        <v>360144.62000000005</v>
      </c>
      <c r="G35" s="44">
        <f>SUM(G26:G34)</f>
        <v>392042.66700000013</v>
      </c>
      <c r="H35" s="45">
        <f>SUM(H26:H34)</f>
        <v>-31898.047000000028</v>
      </c>
      <c r="I35" s="66"/>
      <c r="J35" s="1"/>
      <c r="K35" s="1"/>
      <c r="L35" s="1"/>
      <c r="M35" s="188"/>
      <c r="N35" s="188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3520745.5200000005</v>
      </c>
      <c r="D39" s="229"/>
      <c r="E39" s="228">
        <f>F26+F27+F28+F29+F30+F31+F32+F34+E18</f>
        <v>2565892.4700000007</v>
      </c>
      <c r="F39" s="229"/>
      <c r="G39" s="228">
        <f>F33+G18</f>
        <v>954853.04999999981</v>
      </c>
      <c r="H39" s="244"/>
      <c r="I39" s="165"/>
      <c r="J39" s="166"/>
      <c r="K39" s="50"/>
      <c r="L39" s="50"/>
      <c r="M39" s="194"/>
    </row>
    <row r="40" spans="2:14" s="2" customFormat="1">
      <c r="B40" s="157" t="s">
        <v>12</v>
      </c>
      <c r="C40" s="230">
        <f>E40+G40</f>
        <v>3364105.44</v>
      </c>
      <c r="D40" s="231"/>
      <c r="E40" s="230">
        <f>E19+242321.75</f>
        <v>2455159.02</v>
      </c>
      <c r="F40" s="231"/>
      <c r="G40" s="230">
        <f>G19+96301.62</f>
        <v>908946.41999999993</v>
      </c>
      <c r="H40" s="241"/>
      <c r="I40" s="165"/>
      <c r="J40" s="167"/>
      <c r="K40" s="52"/>
      <c r="L40" s="50"/>
      <c r="M40" s="194"/>
      <c r="N40" s="188"/>
    </row>
    <row r="41" spans="2:14" s="2" customFormat="1" ht="17.25" customHeight="1" thickBot="1">
      <c r="B41" s="158" t="s">
        <v>88</v>
      </c>
      <c r="C41" s="232">
        <f>E41+G41</f>
        <v>3315080.7147000004</v>
      </c>
      <c r="D41" s="233"/>
      <c r="E41" s="232">
        <f>G26+G27+G28+G29+G30+G31+G32+G34+E20</f>
        <v>2588539.7147000004</v>
      </c>
      <c r="F41" s="233"/>
      <c r="G41" s="232">
        <f>G33+G20</f>
        <v>726541</v>
      </c>
      <c r="H41" s="242"/>
      <c r="I41" s="165"/>
      <c r="J41" s="49"/>
      <c r="K41" s="34"/>
      <c r="L41" s="34"/>
      <c r="M41" s="188"/>
      <c r="N41" s="188"/>
    </row>
    <row r="42" spans="2:14" s="2" customFormat="1" ht="28.5" customHeight="1" thickBot="1">
      <c r="B42" s="159" t="s">
        <v>147</v>
      </c>
      <c r="C42" s="234">
        <f>E42+G42</f>
        <v>49024.725299999584</v>
      </c>
      <c r="D42" s="235"/>
      <c r="E42" s="245">
        <f>E40-E41</f>
        <v>-133380.69470000034</v>
      </c>
      <c r="F42" s="246"/>
      <c r="G42" s="245">
        <f>G40-G41</f>
        <v>182405.41999999993</v>
      </c>
      <c r="H42" s="247"/>
      <c r="I42" s="168"/>
      <c r="J42" s="153"/>
      <c r="K42" s="34"/>
      <c r="L42" s="34"/>
      <c r="M42" s="188"/>
      <c r="N42" s="188"/>
    </row>
    <row r="43" spans="2:14" ht="20.25" customHeight="1">
      <c r="B43" s="79"/>
      <c r="C43" s="151"/>
      <c r="D43" s="151"/>
      <c r="E43" s="153"/>
      <c r="F43" s="153"/>
      <c r="G43" s="153"/>
      <c r="H43" s="153"/>
      <c r="I43" s="53"/>
      <c r="J43" s="2"/>
      <c r="K43" s="2"/>
      <c r="L43" s="2"/>
      <c r="M43" s="192"/>
      <c r="N43" s="192"/>
    </row>
    <row r="44" spans="2:14" ht="16.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53"/>
      <c r="J44" s="2"/>
      <c r="K44" s="2"/>
      <c r="L44" s="2"/>
      <c r="M44" s="192"/>
      <c r="N44" s="192"/>
    </row>
    <row r="45" spans="2:14" ht="8.2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5.7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9.75" customHeight="1">
      <c r="B47" s="53"/>
      <c r="C47" s="54"/>
      <c r="D47" s="54"/>
      <c r="E47" s="222"/>
      <c r="F47" s="249"/>
      <c r="G47" s="249"/>
      <c r="H47" s="53"/>
      <c r="I47" s="53"/>
    </row>
    <row r="48" spans="2:14" ht="1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53"/>
    </row>
    <row r="49" spans="2:9" ht="10.5" customHeight="1">
      <c r="B49" s="55"/>
      <c r="C49" s="56"/>
      <c r="D49" s="56"/>
      <c r="E49" s="222"/>
      <c r="F49" s="203"/>
      <c r="G49" s="55"/>
      <c r="H49" s="57"/>
      <c r="I49" s="53"/>
    </row>
    <row r="50" spans="2:9" ht="12.7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53"/>
    </row>
  </sheetData>
  <mergeCells count="57">
    <mergeCell ref="B2:H2"/>
    <mergeCell ref="B3:H3"/>
    <mergeCell ref="B4:H4"/>
    <mergeCell ref="B1:H1"/>
    <mergeCell ref="F50:G50"/>
    <mergeCell ref="B5:H6"/>
    <mergeCell ref="F47:G47"/>
    <mergeCell ref="F45:G45"/>
    <mergeCell ref="F46:G46"/>
    <mergeCell ref="B37:H37"/>
    <mergeCell ref="F44:G44"/>
    <mergeCell ref="G40:H40"/>
    <mergeCell ref="G41:H41"/>
    <mergeCell ref="G42:H42"/>
    <mergeCell ref="E41:F41"/>
    <mergeCell ref="E42:F42"/>
    <mergeCell ref="D8:E8"/>
    <mergeCell ref="B23:H23"/>
    <mergeCell ref="B24:B25"/>
    <mergeCell ref="C24:C25"/>
    <mergeCell ref="D24:D25"/>
    <mergeCell ref="E24:E25"/>
    <mergeCell ref="F24:G24"/>
    <mergeCell ref="H24:H25"/>
    <mergeCell ref="B16:H16"/>
    <mergeCell ref="C17:D17"/>
    <mergeCell ref="E17:F17"/>
    <mergeCell ref="G17:H17"/>
    <mergeCell ref="C18:D18"/>
    <mergeCell ref="E18:F18"/>
    <mergeCell ref="G18:H18"/>
    <mergeCell ref="C19:D19"/>
    <mergeCell ref="G39:H39"/>
    <mergeCell ref="C38:D38"/>
    <mergeCell ref="C39:D39"/>
    <mergeCell ref="E38:F38"/>
    <mergeCell ref="E40:F40"/>
    <mergeCell ref="G38:H38"/>
    <mergeCell ref="E39:F3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48:E48"/>
    <mergeCell ref="F48:G48"/>
    <mergeCell ref="C50:E50"/>
    <mergeCell ref="C40:D40"/>
    <mergeCell ref="C41:D41"/>
    <mergeCell ref="C42:D42"/>
    <mergeCell ref="C44:E44"/>
    <mergeCell ref="C46:E46"/>
  </mergeCells>
  <printOptions horizontalCentered="1"/>
  <pageMargins left="0.19685039370078741" right="0.19685039370078741" top="0.16" bottom="0.24" header="0.16" footer="0.2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1"/>
  <sheetViews>
    <sheetView topLeftCell="A33" zoomScale="110" zoomScaleNormal="110" workbookViewId="0">
      <selection activeCell="B1" sqref="B1:H50"/>
    </sheetView>
  </sheetViews>
  <sheetFormatPr defaultColWidth="9.140625" defaultRowHeight="15.75"/>
  <cols>
    <col min="1" max="1" width="2.85546875" style="1" customWidth="1"/>
    <col min="2" max="2" width="55.85546875" style="1" customWidth="1"/>
    <col min="3" max="3" width="14.140625" style="15" customWidth="1"/>
    <col min="4" max="4" width="8.5703125" style="3" customWidth="1"/>
    <col min="5" max="5" width="10" style="3" customWidth="1"/>
    <col min="6" max="6" width="10.42578125" style="1" customWidth="1"/>
    <col min="7" max="7" width="10.28515625" style="1" customWidth="1"/>
    <col min="8" max="8" width="10.85546875" style="1" customWidth="1"/>
    <col min="9" max="9" width="14.7109375" style="1" customWidth="1"/>
    <col min="10" max="10" width="15.140625" style="1" customWidth="1"/>
    <col min="11" max="12" width="9.140625" style="1"/>
    <col min="13" max="13" width="18.7109375" style="188" customWidth="1"/>
    <col min="14" max="14" width="17" style="188" customWidth="1"/>
    <col min="15" max="16384" width="9.140625" style="1"/>
  </cols>
  <sheetData>
    <row r="1" spans="1:8">
      <c r="B1" s="253" t="s">
        <v>119</v>
      </c>
      <c r="C1" s="253"/>
      <c r="D1" s="253"/>
      <c r="E1" s="253"/>
      <c r="F1" s="253"/>
      <c r="G1" s="253"/>
      <c r="H1" s="253"/>
    </row>
    <row r="2" spans="1:8">
      <c r="B2" s="253" t="s">
        <v>120</v>
      </c>
      <c r="C2" s="253"/>
      <c r="D2" s="253"/>
      <c r="E2" s="253"/>
      <c r="F2" s="253"/>
      <c r="G2" s="253"/>
      <c r="H2" s="253"/>
    </row>
    <row r="3" spans="1:8">
      <c r="B3" s="253" t="s">
        <v>157</v>
      </c>
      <c r="C3" s="253"/>
      <c r="D3" s="253"/>
      <c r="E3" s="253"/>
      <c r="F3" s="253"/>
      <c r="G3" s="253"/>
      <c r="H3" s="253"/>
    </row>
    <row r="4" spans="1:8">
      <c r="B4" s="253" t="s">
        <v>179</v>
      </c>
      <c r="C4" s="253"/>
      <c r="D4" s="253"/>
      <c r="E4" s="253"/>
      <c r="F4" s="253"/>
      <c r="G4" s="253"/>
      <c r="H4" s="253"/>
    </row>
    <row r="5" spans="1:8" ht="27.75" customHeight="1">
      <c r="A5" s="69"/>
      <c r="B5" s="254" t="s">
        <v>180</v>
      </c>
      <c r="C5" s="254"/>
      <c r="D5" s="254"/>
      <c r="E5" s="254"/>
      <c r="F5" s="254"/>
      <c r="G5" s="254"/>
      <c r="H5" s="254"/>
    </row>
    <row r="6" spans="1:8" ht="15.75" customHeight="1">
      <c r="A6" s="69"/>
      <c r="B6" s="254"/>
      <c r="C6" s="254"/>
      <c r="D6" s="254"/>
      <c r="E6" s="254"/>
      <c r="F6" s="254"/>
      <c r="G6" s="254"/>
      <c r="H6" s="254"/>
    </row>
    <row r="7" spans="1:8" ht="8.25" customHeight="1">
      <c r="B7" s="68"/>
      <c r="C7" s="68"/>
      <c r="D7" s="68"/>
      <c r="E7" s="68"/>
      <c r="F7" s="68"/>
      <c r="G7" s="68"/>
    </row>
    <row r="8" spans="1:8">
      <c r="B8" s="169" t="s">
        <v>0</v>
      </c>
      <c r="C8" s="170"/>
      <c r="D8" s="177" t="s">
        <v>28</v>
      </c>
      <c r="E8" s="177"/>
    </row>
    <row r="9" spans="1:8">
      <c r="B9" s="169" t="s">
        <v>1</v>
      </c>
      <c r="C9" s="170"/>
      <c r="D9" s="213">
        <v>1963</v>
      </c>
      <c r="E9" s="213"/>
    </row>
    <row r="10" spans="1:8" ht="15.75" hidden="1" customHeight="1">
      <c r="B10" s="169" t="s">
        <v>2</v>
      </c>
      <c r="C10" s="170"/>
      <c r="D10" s="213">
        <v>4</v>
      </c>
      <c r="E10" s="213"/>
    </row>
    <row r="11" spans="1:8" ht="15.75" hidden="1" customHeight="1">
      <c r="B11" s="169" t="s">
        <v>3</v>
      </c>
      <c r="C11" s="170"/>
      <c r="D11" s="213">
        <v>32</v>
      </c>
      <c r="E11" s="213"/>
    </row>
    <row r="12" spans="1:8" ht="30.75" hidden="1" customHeight="1">
      <c r="B12" s="171" t="s">
        <v>4</v>
      </c>
      <c r="C12" s="172"/>
      <c r="D12" s="213" t="s">
        <v>29</v>
      </c>
      <c r="E12" s="213"/>
    </row>
    <row r="13" spans="1:8">
      <c r="B13" s="169" t="s">
        <v>5</v>
      </c>
      <c r="C13" s="170"/>
      <c r="D13" s="213" t="s">
        <v>106</v>
      </c>
      <c r="E13" s="213"/>
      <c r="H13" s="5"/>
    </row>
    <row r="14" spans="1:8" ht="15.75" hidden="1" customHeight="1">
      <c r="B14" s="1" t="s">
        <v>6</v>
      </c>
      <c r="D14" s="162" t="s">
        <v>7</v>
      </c>
      <c r="E14" s="162"/>
    </row>
    <row r="15" spans="1:8" ht="30.75" hidden="1" customHeight="1">
      <c r="B15" s="16" t="s">
        <v>8</v>
      </c>
      <c r="C15" s="17"/>
      <c r="D15" s="214" t="s">
        <v>18</v>
      </c>
      <c r="E15" s="162"/>
      <c r="H15" s="5"/>
    </row>
    <row r="16" spans="1:8" ht="16.5" thickBot="1">
      <c r="B16" s="240" t="s">
        <v>177</v>
      </c>
      <c r="C16" s="240"/>
      <c r="D16" s="240"/>
      <c r="E16" s="240"/>
      <c r="F16" s="240"/>
      <c r="G16" s="240"/>
      <c r="H16" s="240"/>
    </row>
    <row r="17" spans="2:14" ht="48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</row>
    <row r="18" spans="2:14">
      <c r="B18" s="156" t="s">
        <v>11</v>
      </c>
      <c r="C18" s="266">
        <v>2149602.38</v>
      </c>
      <c r="D18" s="271"/>
      <c r="E18" s="266">
        <v>1614841.7699999998</v>
      </c>
      <c r="F18" s="271"/>
      <c r="G18" s="266">
        <v>534760.61</v>
      </c>
      <c r="H18" s="272"/>
    </row>
    <row r="19" spans="2:14">
      <c r="B19" s="157" t="s">
        <v>12</v>
      </c>
      <c r="C19" s="230">
        <v>1968796.65</v>
      </c>
      <c r="D19" s="231"/>
      <c r="E19" s="230">
        <v>1479402.02</v>
      </c>
      <c r="F19" s="231"/>
      <c r="G19" s="230">
        <v>489394.63</v>
      </c>
      <c r="H19" s="241"/>
    </row>
    <row r="20" spans="2:14" ht="16.5" thickBot="1">
      <c r="B20" s="158" t="s">
        <v>88</v>
      </c>
      <c r="C20" s="269">
        <v>2176983.2215999998</v>
      </c>
      <c r="D20" s="275"/>
      <c r="E20" s="269">
        <v>1634550.2215999998</v>
      </c>
      <c r="F20" s="275"/>
      <c r="G20" s="269">
        <v>542433</v>
      </c>
      <c r="H20" s="274"/>
    </row>
    <row r="21" spans="2:14" ht="31.5" customHeight="1" thickBot="1">
      <c r="B21" s="159" t="s">
        <v>146</v>
      </c>
      <c r="C21" s="234">
        <f>E21+G21</f>
        <v>-208186.57159999979</v>
      </c>
      <c r="D21" s="235"/>
      <c r="E21" s="245">
        <f>E19-E20</f>
        <v>-155148.2015999998</v>
      </c>
      <c r="F21" s="246"/>
      <c r="G21" s="245">
        <f>G19-G20</f>
        <v>-53038.369999999995</v>
      </c>
      <c r="H21" s="247"/>
    </row>
    <row r="22" spans="2:14">
      <c r="B22" s="16"/>
      <c r="C22" s="17"/>
      <c r="D22" s="214"/>
      <c r="E22" s="162"/>
      <c r="H22" s="5"/>
    </row>
    <row r="23" spans="2:14" ht="34.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3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s="209" customFormat="1" ht="43.9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I25" s="1"/>
      <c r="J25" s="1"/>
      <c r="K25" s="1"/>
      <c r="L25" s="1"/>
      <c r="M25" s="189">
        <v>175628.05</v>
      </c>
      <c r="N25" s="189">
        <f>M25*1.05</f>
        <v>184409.45249999998</v>
      </c>
    </row>
    <row r="26" spans="2:14" s="2" customFormat="1" ht="39.7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18728.946981891346</v>
      </c>
      <c r="G26" s="25">
        <f>$N$25/$N$26*E26</f>
        <v>19665.394330985913</v>
      </c>
      <c r="H26" s="26">
        <f>F26-G26</f>
        <v>-936.44734909456747</v>
      </c>
      <c r="I26" s="27"/>
      <c r="J26" s="209"/>
      <c r="K26" s="209"/>
      <c r="L26" s="28"/>
      <c r="M26" s="191">
        <f>E35-E33</f>
        <v>9.9400000000000013</v>
      </c>
      <c r="N26" s="191">
        <f>E35-E33</f>
        <v>9.9400000000000013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21025.893309859148</v>
      </c>
      <c r="G27" s="25">
        <f t="shared" ref="G27:G31" si="1">$N$25/$N$26*E27</f>
        <v>22077.187975352106</v>
      </c>
      <c r="H27" s="26">
        <f t="shared" ref="H27:H32" si="2">F27-G27</f>
        <v>-1051.2946654929583</v>
      </c>
      <c r="I27" s="32"/>
      <c r="J27" s="2"/>
      <c r="K27" s="2"/>
      <c r="L27" s="2"/>
      <c r="M27" s="192"/>
      <c r="N27" s="192"/>
    </row>
    <row r="28" spans="2:14" ht="32.2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5654.0217303822928</v>
      </c>
      <c r="G28" s="25">
        <f t="shared" si="1"/>
        <v>5936.722816901407</v>
      </c>
      <c r="H28" s="26">
        <f t="shared" si="2"/>
        <v>-282.70108651911414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0.19</v>
      </c>
      <c r="F29" s="24">
        <f t="shared" si="0"/>
        <v>3357.0754024144862</v>
      </c>
      <c r="G29" s="25">
        <f t="shared" si="1"/>
        <v>3524.9291725352105</v>
      </c>
      <c r="H29" s="26">
        <f t="shared" si="2"/>
        <v>-167.85377012072422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20849.205130784703</v>
      </c>
      <c r="G30" s="25">
        <f t="shared" si="1"/>
        <v>21891.665387323937</v>
      </c>
      <c r="H30" s="26">
        <f t="shared" si="2"/>
        <v>-1042.4602565392343</v>
      </c>
      <c r="I30" s="34"/>
    </row>
    <row r="31" spans="2:14" s="2" customFormat="1" ht="215.2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99122.068460764567</v>
      </c>
      <c r="G31" s="25">
        <f t="shared" si="1"/>
        <v>104078.1718838028</v>
      </c>
      <c r="H31" s="26">
        <f t="shared" si="2"/>
        <v>-4956.1034230382356</v>
      </c>
      <c r="I31" s="32"/>
      <c r="L31" s="4"/>
      <c r="M31" s="192"/>
      <c r="N31" s="192"/>
    </row>
    <row r="32" spans="2:14" ht="102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4240.5162977867194</v>
      </c>
      <c r="G32" s="25">
        <f t="shared" ref="G32" si="3">$N$25/$N$26*E32</f>
        <v>4452.5421126760548</v>
      </c>
      <c r="H32" s="26">
        <f t="shared" si="2"/>
        <v>-212.02581488933538</v>
      </c>
      <c r="I32" s="34"/>
    </row>
    <row r="33" spans="2:14" ht="30.75" customHeight="1">
      <c r="B33" s="33" t="s">
        <v>91</v>
      </c>
      <c r="C33" s="21" t="s">
        <v>97</v>
      </c>
      <c r="D33" s="22" t="s">
        <v>98</v>
      </c>
      <c r="E33" s="30">
        <v>3.61</v>
      </c>
      <c r="F33" s="24">
        <v>63784.43</v>
      </c>
      <c r="G33" s="31">
        <v>29658</v>
      </c>
      <c r="H33" s="26">
        <f>F33-G33</f>
        <v>34126.43</v>
      </c>
      <c r="I33" s="34"/>
      <c r="L33" s="5"/>
    </row>
    <row r="34" spans="2:14" s="67" customFormat="1" ht="18" customHeight="1" thickBot="1">
      <c r="B34" s="63" t="s">
        <v>85</v>
      </c>
      <c r="C34" s="37" t="s">
        <v>100</v>
      </c>
      <c r="D34" s="38" t="s">
        <v>98</v>
      </c>
      <c r="E34" s="39">
        <v>0.15</v>
      </c>
      <c r="F34" s="24">
        <f t="shared" si="0"/>
        <v>2650.3226861166995</v>
      </c>
      <c r="G34" s="25">
        <f t="shared" ref="G34" si="4">$N$25/$N$26*E34</f>
        <v>2782.8388204225344</v>
      </c>
      <c r="H34" s="26">
        <f>F34-G34</f>
        <v>-132.51613430583484</v>
      </c>
      <c r="I34" s="34"/>
      <c r="J34" s="1"/>
      <c r="K34" s="1"/>
      <c r="L34" s="1"/>
      <c r="M34" s="188"/>
      <c r="N34" s="188"/>
    </row>
    <row r="35" spans="2:14" s="3" customFormat="1" ht="16.5" thickBot="1">
      <c r="B35" s="40" t="s">
        <v>89</v>
      </c>
      <c r="C35" s="41"/>
      <c r="D35" s="41"/>
      <c r="E35" s="42">
        <f>SUM(E26:E34)</f>
        <v>13.55</v>
      </c>
      <c r="F35" s="43">
        <f>SUM(F26:F34)</f>
        <v>239412.47999999995</v>
      </c>
      <c r="G35" s="44">
        <f>SUM(G26:G34)</f>
        <v>214067.45249999996</v>
      </c>
      <c r="H35" s="45">
        <f>SUM(H26:H34)</f>
        <v>25345.027499999997</v>
      </c>
      <c r="I35" s="66"/>
      <c r="J35" s="5"/>
      <c r="K35" s="5"/>
      <c r="L35" s="1"/>
      <c r="M35" s="188"/>
      <c r="N35" s="188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55.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75"/>
      <c r="J38" s="164"/>
      <c r="K38" s="47"/>
      <c r="L38" s="48"/>
      <c r="M38" s="193"/>
      <c r="N38" s="193"/>
    </row>
    <row r="39" spans="2:14">
      <c r="B39" s="156" t="s">
        <v>11</v>
      </c>
      <c r="C39" s="266">
        <f>E39+G39</f>
        <v>2389014.86</v>
      </c>
      <c r="D39" s="271"/>
      <c r="E39" s="266">
        <f>F26+F27+F28+F29+F30+F31+F32+F34+E18</f>
        <v>1790469.8199999998</v>
      </c>
      <c r="F39" s="271"/>
      <c r="G39" s="266">
        <f>F33+G18</f>
        <v>598545.04</v>
      </c>
      <c r="H39" s="272"/>
      <c r="I39" s="165"/>
      <c r="J39" s="166"/>
      <c r="K39" s="50"/>
      <c r="L39" s="50"/>
      <c r="M39" s="194"/>
    </row>
    <row r="40" spans="2:14" s="2" customFormat="1">
      <c r="B40" s="157" t="s">
        <v>12</v>
      </c>
      <c r="C40" s="230">
        <f>E40+G40</f>
        <v>2176075.6900000004</v>
      </c>
      <c r="D40" s="231"/>
      <c r="E40" s="230">
        <f>E19+152055.62</f>
        <v>1631457.6400000001</v>
      </c>
      <c r="F40" s="231"/>
      <c r="G40" s="230">
        <f>G19+55223.42</f>
        <v>544618.05000000005</v>
      </c>
      <c r="H40" s="241"/>
      <c r="I40" s="165"/>
      <c r="J40" s="167"/>
      <c r="K40" s="52"/>
      <c r="L40" s="50"/>
      <c r="M40" s="194"/>
      <c r="N40" s="188"/>
    </row>
    <row r="41" spans="2:14" s="2" customFormat="1" ht="16.5" thickBot="1">
      <c r="B41" s="158" t="s">
        <v>88</v>
      </c>
      <c r="C41" s="269">
        <f>E41+G41</f>
        <v>2391050.6740999995</v>
      </c>
      <c r="D41" s="275"/>
      <c r="E41" s="269">
        <f>G26+G27+G28+G29+G30+G31+G32+G34+E20</f>
        <v>1818959.6740999997</v>
      </c>
      <c r="F41" s="275"/>
      <c r="G41" s="269">
        <f>G33+G20</f>
        <v>572091</v>
      </c>
      <c r="H41" s="274"/>
      <c r="I41" s="165"/>
      <c r="J41" s="49"/>
      <c r="K41" s="34"/>
      <c r="L41" s="34"/>
      <c r="M41" s="188"/>
      <c r="N41" s="188"/>
    </row>
    <row r="42" spans="2:14" s="2" customFormat="1" ht="30" customHeight="1" thickBot="1">
      <c r="B42" s="159" t="s">
        <v>147</v>
      </c>
      <c r="C42" s="234">
        <f>E42+G42</f>
        <v>-214974.98409999954</v>
      </c>
      <c r="D42" s="235"/>
      <c r="E42" s="245">
        <f>E40-E41</f>
        <v>-187502.03409999958</v>
      </c>
      <c r="F42" s="246"/>
      <c r="G42" s="251">
        <f>G40-G41</f>
        <v>-27472.949999999953</v>
      </c>
      <c r="H42" s="252"/>
      <c r="I42" s="168"/>
      <c r="J42" s="153"/>
      <c r="K42" s="34"/>
      <c r="L42" s="34"/>
      <c r="M42" s="188"/>
      <c r="N42" s="188"/>
    </row>
    <row r="43" spans="2:14" ht="15.75" customHeight="1">
      <c r="B43" s="79"/>
      <c r="C43" s="151"/>
      <c r="D43" s="151"/>
      <c r="E43" s="153"/>
      <c r="F43" s="153"/>
      <c r="G43" s="153"/>
      <c r="H43" s="153"/>
      <c r="I43" s="176"/>
      <c r="J43" s="32"/>
      <c r="K43" s="2"/>
      <c r="L43" s="2"/>
      <c r="M43" s="192"/>
      <c r="N43" s="192"/>
    </row>
    <row r="44" spans="2:14" ht="13.5" customHeight="1">
      <c r="B44" s="53" t="s">
        <v>77</v>
      </c>
      <c r="C44" s="183" t="s">
        <v>150</v>
      </c>
      <c r="D44" s="183"/>
      <c r="E44" s="183"/>
      <c r="F44" s="249" t="s">
        <v>175</v>
      </c>
      <c r="G44" s="249"/>
      <c r="H44" s="53"/>
      <c r="I44" s="176"/>
      <c r="J44" s="32"/>
      <c r="K44" s="2"/>
      <c r="L44" s="2"/>
      <c r="M44" s="192"/>
      <c r="N44" s="192"/>
    </row>
    <row r="45" spans="2:14" ht="8.25" customHeight="1">
      <c r="B45" s="53"/>
      <c r="C45" s="54"/>
      <c r="D45" s="54"/>
      <c r="E45" s="222"/>
      <c r="F45" s="53"/>
      <c r="G45" s="53"/>
      <c r="H45" s="53"/>
      <c r="I45" s="53"/>
      <c r="J45" s="2"/>
      <c r="K45" s="2"/>
      <c r="L45" s="2"/>
      <c r="M45" s="192"/>
      <c r="N45" s="192"/>
    </row>
    <row r="46" spans="2:14" ht="12" customHeight="1">
      <c r="B46" s="53" t="s">
        <v>78</v>
      </c>
      <c r="C46" s="183" t="s">
        <v>150</v>
      </c>
      <c r="D46" s="183"/>
      <c r="E46" s="183"/>
      <c r="F46" s="53" t="s">
        <v>93</v>
      </c>
      <c r="G46" s="53"/>
      <c r="H46" s="53"/>
      <c r="I46" s="53"/>
    </row>
    <row r="47" spans="2:14" ht="6.75" customHeight="1">
      <c r="B47" s="53"/>
      <c r="C47" s="54"/>
      <c r="D47" s="54"/>
      <c r="E47" s="222"/>
      <c r="F47" s="53"/>
      <c r="G47" s="53"/>
      <c r="H47" s="53"/>
      <c r="I47" s="53"/>
    </row>
    <row r="48" spans="2:14" ht="15" customHeight="1">
      <c r="B48" s="53" t="s">
        <v>79</v>
      </c>
      <c r="C48" s="183" t="s">
        <v>151</v>
      </c>
      <c r="D48" s="183"/>
      <c r="E48" s="183"/>
      <c r="F48" s="249" t="s">
        <v>176</v>
      </c>
      <c r="G48" s="249"/>
      <c r="H48" s="53"/>
      <c r="I48" s="6"/>
    </row>
    <row r="49" spans="2:9" ht="6.75" customHeight="1">
      <c r="B49" s="55"/>
      <c r="C49" s="56"/>
      <c r="D49" s="56"/>
      <c r="E49" s="222"/>
      <c r="F49" s="203"/>
      <c r="G49" s="55"/>
      <c r="H49" s="57"/>
      <c r="I49" s="53"/>
    </row>
    <row r="50" spans="2:9" ht="12.75" customHeight="1">
      <c r="B50" s="53" t="s">
        <v>80</v>
      </c>
      <c r="C50" s="183" t="s">
        <v>151</v>
      </c>
      <c r="D50" s="183"/>
      <c r="E50" s="183"/>
      <c r="F50" s="249" t="s">
        <v>176</v>
      </c>
      <c r="G50" s="249"/>
      <c r="H50" s="53"/>
      <c r="I50" s="3"/>
    </row>
    <row r="51" spans="2:9" ht="9.75" customHeight="1">
      <c r="B51" s="9"/>
      <c r="C51" s="70"/>
      <c r="D51" s="71"/>
      <c r="E51" s="222"/>
      <c r="F51" s="9"/>
      <c r="G51" s="9"/>
    </row>
  </sheetData>
  <mergeCells count="49">
    <mergeCell ref="F48:G48"/>
    <mergeCell ref="F50:G50"/>
    <mergeCell ref="F44:G44"/>
    <mergeCell ref="M23:M24"/>
    <mergeCell ref="N23:N24"/>
    <mergeCell ref="G39:H39"/>
    <mergeCell ref="G40:H40"/>
    <mergeCell ref="G41:H41"/>
    <mergeCell ref="B1:H1"/>
    <mergeCell ref="B2:H2"/>
    <mergeCell ref="B3:H3"/>
    <mergeCell ref="B4:H4"/>
    <mergeCell ref="B16:H16"/>
    <mergeCell ref="B5:H6"/>
    <mergeCell ref="C17:D17"/>
    <mergeCell ref="C18:D18"/>
    <mergeCell ref="C19:D19"/>
    <mergeCell ref="C20:D20"/>
    <mergeCell ref="E17:F17"/>
    <mergeCell ref="E18:F18"/>
    <mergeCell ref="E19:F19"/>
    <mergeCell ref="E20:F20"/>
    <mergeCell ref="C42:D42"/>
    <mergeCell ref="B23:H23"/>
    <mergeCell ref="C24:C25"/>
    <mergeCell ref="B24:B25"/>
    <mergeCell ref="D24:D25"/>
    <mergeCell ref="E24:E25"/>
    <mergeCell ref="F24:G24"/>
    <mergeCell ref="H24:H25"/>
    <mergeCell ref="G42:H42"/>
    <mergeCell ref="G38:H38"/>
    <mergeCell ref="E38:F38"/>
    <mergeCell ref="E39:F39"/>
    <mergeCell ref="E40:F40"/>
    <mergeCell ref="E41:F41"/>
    <mergeCell ref="E42:F42"/>
    <mergeCell ref="B37:H37"/>
    <mergeCell ref="C38:D38"/>
    <mergeCell ref="C39:D39"/>
    <mergeCell ref="C40:D40"/>
    <mergeCell ref="C41:D41"/>
    <mergeCell ref="C21:D21"/>
    <mergeCell ref="E21:F21"/>
    <mergeCell ref="G21:H21"/>
    <mergeCell ref="G17:H17"/>
    <mergeCell ref="G18:H18"/>
    <mergeCell ref="G19:H19"/>
    <mergeCell ref="G20:H20"/>
  </mergeCells>
  <printOptions horizontalCentered="1"/>
  <pageMargins left="0.2" right="0.2" top="0.15748031496062992" bottom="0.23622047244094491" header="0.15748031496062992" footer="0.2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52"/>
  <sheetViews>
    <sheetView topLeftCell="A6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140625" style="15" customWidth="1"/>
    <col min="4" max="4" width="8.28515625" style="3" customWidth="1"/>
    <col min="5" max="5" width="9.42578125" style="3" customWidth="1"/>
    <col min="6" max="6" width="10.42578125" style="1" customWidth="1"/>
    <col min="7" max="8" width="10.28515625" style="1" customWidth="1"/>
    <col min="9" max="9" width="16.140625" style="1" customWidth="1"/>
    <col min="10" max="10" width="18.140625" style="1" customWidth="1"/>
    <col min="11" max="12" width="9.140625" style="1"/>
    <col min="13" max="13" width="16.42578125" style="188" customWidth="1"/>
    <col min="14" max="14" width="17.7109375" style="188" customWidth="1"/>
    <col min="15" max="16384" width="9.140625" style="1"/>
  </cols>
  <sheetData>
    <row r="1" spans="1:8">
      <c r="B1" s="253" t="s">
        <v>119</v>
      </c>
      <c r="C1" s="253"/>
      <c r="D1" s="253"/>
      <c r="E1" s="253"/>
      <c r="F1" s="253"/>
      <c r="G1" s="253"/>
      <c r="H1" s="253"/>
    </row>
    <row r="2" spans="1:8">
      <c r="B2" s="253" t="s">
        <v>120</v>
      </c>
      <c r="C2" s="253"/>
      <c r="D2" s="253"/>
      <c r="E2" s="253"/>
      <c r="F2" s="253"/>
      <c r="G2" s="253"/>
      <c r="H2" s="253"/>
    </row>
    <row r="3" spans="1:8">
      <c r="B3" s="253" t="s">
        <v>158</v>
      </c>
      <c r="C3" s="253"/>
      <c r="D3" s="253"/>
      <c r="E3" s="253"/>
      <c r="F3" s="253"/>
      <c r="G3" s="253"/>
      <c r="H3" s="253"/>
    </row>
    <row r="4" spans="1:8">
      <c r="B4" s="253" t="s">
        <v>179</v>
      </c>
      <c r="C4" s="253"/>
      <c r="D4" s="253"/>
      <c r="E4" s="253"/>
      <c r="F4" s="253"/>
      <c r="G4" s="253"/>
      <c r="H4" s="253"/>
    </row>
    <row r="5" spans="1:8" ht="19.5" customHeight="1">
      <c r="A5" s="72"/>
      <c r="B5" s="254" t="s">
        <v>180</v>
      </c>
      <c r="C5" s="254"/>
      <c r="D5" s="254"/>
      <c r="E5" s="254"/>
      <c r="F5" s="254"/>
      <c r="G5" s="254"/>
      <c r="H5" s="254"/>
    </row>
    <row r="6" spans="1:8" ht="20.25" customHeight="1">
      <c r="A6" s="72"/>
      <c r="B6" s="254"/>
      <c r="C6" s="254"/>
      <c r="D6" s="254"/>
      <c r="E6" s="254"/>
      <c r="F6" s="254"/>
      <c r="G6" s="254"/>
      <c r="H6" s="254"/>
    </row>
    <row r="7" spans="1:8" ht="9" customHeight="1">
      <c r="B7" s="68"/>
      <c r="C7" s="68"/>
      <c r="D7" s="68"/>
      <c r="E7" s="68"/>
      <c r="F7" s="68"/>
      <c r="G7" s="68"/>
      <c r="H7" s="68"/>
    </row>
    <row r="8" spans="1:8">
      <c r="B8" s="169" t="s">
        <v>0</v>
      </c>
      <c r="C8" s="170"/>
      <c r="D8" s="261" t="s">
        <v>30</v>
      </c>
      <c r="E8" s="261"/>
      <c r="F8" s="169"/>
    </row>
    <row r="9" spans="1:8">
      <c r="B9" s="169" t="s">
        <v>1</v>
      </c>
      <c r="C9" s="170"/>
      <c r="D9" s="213">
        <v>1965</v>
      </c>
      <c r="E9" s="213"/>
      <c r="F9" s="169"/>
    </row>
    <row r="10" spans="1:8" hidden="1" outlineLevel="1">
      <c r="B10" s="169" t="s">
        <v>2</v>
      </c>
      <c r="C10" s="170"/>
      <c r="D10" s="213">
        <v>4</v>
      </c>
      <c r="E10" s="213"/>
      <c r="F10" s="169"/>
    </row>
    <row r="11" spans="1:8" hidden="1" outlineLevel="1">
      <c r="B11" s="169" t="s">
        <v>3</v>
      </c>
      <c r="C11" s="170"/>
      <c r="D11" s="213">
        <v>32</v>
      </c>
      <c r="E11" s="213"/>
      <c r="F11" s="169"/>
    </row>
    <row r="12" spans="1:8" ht="30.75" hidden="1" customHeight="1" outlineLevel="1">
      <c r="B12" s="171" t="s">
        <v>4</v>
      </c>
      <c r="C12" s="172"/>
      <c r="D12" s="213" t="s">
        <v>31</v>
      </c>
      <c r="E12" s="213"/>
      <c r="F12" s="169"/>
    </row>
    <row r="13" spans="1:8" collapsed="1">
      <c r="B13" s="169" t="s">
        <v>5</v>
      </c>
      <c r="C13" s="170"/>
      <c r="D13" s="213" t="s">
        <v>107</v>
      </c>
      <c r="E13" s="213"/>
      <c r="F13" s="169"/>
      <c r="H13" s="5"/>
    </row>
    <row r="14" spans="1:8" hidden="1" outlineLevel="1">
      <c r="B14" s="1" t="s">
        <v>6</v>
      </c>
      <c r="D14" s="162" t="s">
        <v>7</v>
      </c>
      <c r="E14" s="162"/>
    </row>
    <row r="15" spans="1:8" ht="30.75" hidden="1" customHeight="1" outlineLevel="1">
      <c r="B15" s="16" t="s">
        <v>8</v>
      </c>
      <c r="C15" s="17"/>
      <c r="D15" s="214" t="s">
        <v>32</v>
      </c>
      <c r="E15" s="162"/>
      <c r="H15" s="5"/>
    </row>
    <row r="16" spans="1:8" ht="21.75" customHeight="1" collapsed="1" thickBot="1">
      <c r="B16" s="240" t="s">
        <v>177</v>
      </c>
      <c r="C16" s="240"/>
      <c r="D16" s="240"/>
      <c r="E16" s="240"/>
      <c r="F16" s="240"/>
      <c r="G16" s="240"/>
      <c r="H16" s="240"/>
    </row>
    <row r="17" spans="2:14" ht="46.5" customHeight="1" thickBot="1"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</row>
    <row r="18" spans="2:14">
      <c r="B18" s="156" t="s">
        <v>11</v>
      </c>
      <c r="C18" s="266">
        <v>2443239.7999999998</v>
      </c>
      <c r="D18" s="267"/>
      <c r="E18" s="228">
        <v>1644241.2899999998</v>
      </c>
      <c r="F18" s="229"/>
      <c r="G18" s="228">
        <v>798998.51000000013</v>
      </c>
      <c r="H18" s="244"/>
    </row>
    <row r="19" spans="2:14">
      <c r="B19" s="157" t="s">
        <v>12</v>
      </c>
      <c r="C19" s="230">
        <v>2413866.54</v>
      </c>
      <c r="D19" s="268"/>
      <c r="E19" s="230">
        <v>1623222.32</v>
      </c>
      <c r="F19" s="231"/>
      <c r="G19" s="230">
        <v>790644.22000000009</v>
      </c>
      <c r="H19" s="241"/>
    </row>
    <row r="20" spans="2:14" ht="16.5" thickBot="1">
      <c r="B20" s="158" t="s">
        <v>88</v>
      </c>
      <c r="C20" s="269">
        <v>2508214.1333999997</v>
      </c>
      <c r="D20" s="270"/>
      <c r="E20" s="232">
        <v>1666850.1333999999</v>
      </c>
      <c r="F20" s="233"/>
      <c r="G20" s="232">
        <v>841364</v>
      </c>
      <c r="H20" s="242"/>
    </row>
    <row r="21" spans="2:14" ht="31.5" customHeight="1" thickBot="1">
      <c r="B21" s="159" t="s">
        <v>146</v>
      </c>
      <c r="C21" s="234">
        <f>E21+G21</f>
        <v>-94347.59339999978</v>
      </c>
      <c r="D21" s="235"/>
      <c r="E21" s="245">
        <f>E19-E20</f>
        <v>-43627.813399999868</v>
      </c>
      <c r="F21" s="246"/>
      <c r="G21" s="245">
        <f>G19-G20</f>
        <v>-50719.779999999912</v>
      </c>
      <c r="H21" s="247"/>
    </row>
    <row r="22" spans="2:14">
      <c r="B22" s="79"/>
      <c r="C22" s="151"/>
      <c r="D22" s="151"/>
      <c r="E22" s="153"/>
      <c r="F22" s="153"/>
      <c r="G22" s="153"/>
      <c r="H22" s="153"/>
    </row>
    <row r="23" spans="2:14" ht="31.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14" ht="34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2:14" ht="44.2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193025.79</v>
      </c>
      <c r="N25" s="189">
        <f>M25*1.05</f>
        <v>202677.07950000002</v>
      </c>
    </row>
    <row r="26" spans="2:14" ht="44.2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18823.122115915365</v>
      </c>
      <c r="G26" s="25">
        <f>$N$25/$N$26*E26</f>
        <v>19764.278221711134</v>
      </c>
      <c r="H26" s="26">
        <f>F26-G26</f>
        <v>-941.15610579576969</v>
      </c>
      <c r="I26" s="27"/>
      <c r="J26" s="209"/>
      <c r="K26" s="209"/>
      <c r="L26" s="28"/>
      <c r="M26" s="191">
        <f>E35-E33</f>
        <v>10.870000000000001</v>
      </c>
      <c r="N26" s="191">
        <f>E35-E33</f>
        <v>10.870000000000001</v>
      </c>
    </row>
    <row r="27" spans="2:14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2" si="0">$M$25/$M$26*E27</f>
        <v>21131.618224471022</v>
      </c>
      <c r="G27" s="25">
        <f t="shared" ref="G27:G31" si="1">$N$25/$N$26*E27</f>
        <v>22188.199135694573</v>
      </c>
      <c r="H27" s="26">
        <f t="shared" ref="H27:H32" si="2">F27-G27</f>
        <v>-1056.5809112235511</v>
      </c>
      <c r="I27" s="32"/>
      <c r="J27" s="2"/>
      <c r="K27" s="2"/>
      <c r="L27" s="2"/>
      <c r="M27" s="192"/>
      <c r="N27" s="192"/>
    </row>
    <row r="28" spans="2:14" ht="38.2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5682.4519595216188</v>
      </c>
      <c r="G28" s="25">
        <f t="shared" si="1"/>
        <v>5966.5745574977009</v>
      </c>
      <c r="H28" s="26">
        <f t="shared" si="2"/>
        <v>-284.12259797608203</v>
      </c>
      <c r="I28" s="34"/>
      <c r="L28" s="5"/>
    </row>
    <row r="29" spans="2:14" ht="25.5">
      <c r="B29" s="33" t="s">
        <v>84</v>
      </c>
      <c r="C29" s="35" t="s">
        <v>99</v>
      </c>
      <c r="D29" s="22" t="s">
        <v>98</v>
      </c>
      <c r="E29" s="30">
        <v>0.16</v>
      </c>
      <c r="F29" s="24">
        <f t="shared" si="0"/>
        <v>2841.2259797608094</v>
      </c>
      <c r="G29" s="25">
        <f t="shared" si="1"/>
        <v>2983.2872787488504</v>
      </c>
      <c r="H29" s="26">
        <f t="shared" si="2"/>
        <v>-142.06129898804102</v>
      </c>
      <c r="I29" s="34"/>
      <c r="L29" s="5"/>
    </row>
    <row r="30" spans="2:14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20954.041600735971</v>
      </c>
      <c r="G30" s="25">
        <f t="shared" si="1"/>
        <v>22001.743680772768</v>
      </c>
      <c r="H30" s="26">
        <f t="shared" si="2"/>
        <v>-1047.7020800367973</v>
      </c>
      <c r="I30" s="34"/>
    </row>
    <row r="31" spans="2:14" ht="215.25" customHeight="1">
      <c r="B31" s="29" t="s">
        <v>140</v>
      </c>
      <c r="C31" s="21" t="s">
        <v>100</v>
      </c>
      <c r="D31" s="22" t="s">
        <v>98</v>
      </c>
      <c r="E31" s="30">
        <v>5.61</v>
      </c>
      <c r="F31" s="24">
        <f t="shared" si="0"/>
        <v>99620.485915363388</v>
      </c>
      <c r="G31" s="25">
        <f t="shared" si="1"/>
        <v>104601.51021113156</v>
      </c>
      <c r="H31" s="26">
        <f t="shared" si="2"/>
        <v>-4981.0242957681767</v>
      </c>
      <c r="I31" s="32"/>
      <c r="J31" s="2"/>
      <c r="K31" s="2"/>
      <c r="L31" s="4"/>
      <c r="M31" s="192"/>
      <c r="N31" s="192"/>
    </row>
    <row r="32" spans="2:14" ht="111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4261.8389696412141</v>
      </c>
      <c r="G32" s="25">
        <f t="shared" ref="G32:G34" si="3">$N$25/$N$26*E32</f>
        <v>4474.9309181232748</v>
      </c>
      <c r="H32" s="26">
        <f t="shared" si="2"/>
        <v>-213.09194848206062</v>
      </c>
      <c r="I32" s="34"/>
    </row>
    <row r="33" spans="2:14" ht="36">
      <c r="B33" s="33" t="s">
        <v>91</v>
      </c>
      <c r="C33" s="21" t="s">
        <v>97</v>
      </c>
      <c r="D33" s="22" t="s">
        <v>98</v>
      </c>
      <c r="E33" s="30">
        <v>6.38</v>
      </c>
      <c r="F33" s="24">
        <v>113293.89</v>
      </c>
      <c r="G33" s="31">
        <v>91459</v>
      </c>
      <c r="H33" s="26">
        <f>F33-G33</f>
        <v>21834.89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1.1100000000000001</v>
      </c>
      <c r="F34" s="24">
        <f>$M$25/$M$26*E34</f>
        <v>19711.005234590619</v>
      </c>
      <c r="G34" s="25">
        <f t="shared" si="3"/>
        <v>20696.55549632015</v>
      </c>
      <c r="H34" s="26">
        <f>F34-G34</f>
        <v>-985.55026172953148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17.25</v>
      </c>
      <c r="F35" s="43">
        <f>SUM(F26:F34)</f>
        <v>306319.68</v>
      </c>
      <c r="G35" s="44">
        <f>SUM(G26:G34)</f>
        <v>294136.07949999999</v>
      </c>
      <c r="H35" s="45">
        <f>SUM(H26:H34)</f>
        <v>12183.60049999999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46.5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75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2749559.48</v>
      </c>
      <c r="D39" s="229"/>
      <c r="E39" s="228">
        <f>F26+F27+F28+F29+F30+F31+F32+F34+E18</f>
        <v>1837267.0799999998</v>
      </c>
      <c r="F39" s="229"/>
      <c r="G39" s="228">
        <f>F33+G18</f>
        <v>912292.40000000014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2724904.74</v>
      </c>
      <c r="D40" s="231"/>
      <c r="E40" s="230">
        <f>E19+195998.72</f>
        <v>1819221.04</v>
      </c>
      <c r="F40" s="231"/>
      <c r="G40" s="230">
        <f>G19+115038.8+0.68</f>
        <v>905683.70000000019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2802350.2128999997</v>
      </c>
      <c r="D41" s="233"/>
      <c r="E41" s="232">
        <f>G26+G27+G28+G29+G30+G31+G32+G34+E20</f>
        <v>1869527.2128999999</v>
      </c>
      <c r="F41" s="233"/>
      <c r="G41" s="232">
        <f>G33+G20</f>
        <v>932823</v>
      </c>
      <c r="H41" s="242"/>
      <c r="I41" s="165"/>
      <c r="J41" s="49"/>
      <c r="K41" s="34"/>
      <c r="L41" s="34"/>
    </row>
    <row r="42" spans="2:14" ht="36.75" customHeight="1" thickBot="1">
      <c r="B42" s="159" t="s">
        <v>147</v>
      </c>
      <c r="C42" s="234">
        <f>E42+G42</f>
        <v>-77445.472899999702</v>
      </c>
      <c r="D42" s="235"/>
      <c r="E42" s="245">
        <f>E40-E41</f>
        <v>-50306.172899999889</v>
      </c>
      <c r="F42" s="246"/>
      <c r="G42" s="245">
        <f>G40-G41</f>
        <v>-27139.299999999814</v>
      </c>
      <c r="H42" s="247"/>
      <c r="I42" s="168"/>
      <c r="J42" s="153"/>
      <c r="K42" s="34"/>
      <c r="L42" s="34"/>
    </row>
    <row r="43" spans="2:14" ht="11.25" customHeight="1">
      <c r="B43" s="79"/>
      <c r="C43" s="151"/>
      <c r="D43" s="151"/>
      <c r="E43" s="153"/>
      <c r="F43" s="153"/>
      <c r="G43" s="153"/>
      <c r="H43" s="153"/>
      <c r="I43" s="176"/>
      <c r="J43" s="32"/>
      <c r="K43" s="2"/>
      <c r="L43" s="2"/>
      <c r="M43" s="192"/>
      <c r="N43" s="192"/>
    </row>
    <row r="44" spans="2:14" ht="15.7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176"/>
      <c r="J44" s="32"/>
      <c r="K44" s="2"/>
      <c r="L44" s="2"/>
      <c r="M44" s="192"/>
      <c r="N44" s="192"/>
    </row>
    <row r="45" spans="2:14" ht="5.2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8.25" customHeight="1">
      <c r="B47" s="53"/>
      <c r="C47" s="54"/>
      <c r="D47" s="54"/>
      <c r="E47" s="222"/>
      <c r="F47" s="249"/>
      <c r="G47" s="249"/>
      <c r="H47" s="53"/>
      <c r="I47" s="53"/>
    </row>
    <row r="48" spans="2:14" ht="12.7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53"/>
    </row>
    <row r="49" spans="2:9" ht="7.5" customHeight="1">
      <c r="B49" s="55"/>
      <c r="C49" s="56"/>
      <c r="D49" s="56"/>
      <c r="E49" s="222"/>
      <c r="F49" s="203"/>
      <c r="G49" s="55"/>
      <c r="H49" s="57"/>
      <c r="I49" s="53"/>
    </row>
    <row r="50" spans="2:9" ht="12.7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53"/>
    </row>
    <row r="51" spans="2:9">
      <c r="B51" s="9"/>
      <c r="C51" s="70"/>
      <c r="D51" s="71"/>
      <c r="E51" s="222"/>
      <c r="F51" s="9"/>
      <c r="G51" s="9"/>
      <c r="H51" s="53"/>
      <c r="I51" s="53"/>
    </row>
    <row r="52" spans="2:9">
      <c r="H52" s="53"/>
      <c r="I52" s="53"/>
    </row>
  </sheetData>
  <mergeCells count="57">
    <mergeCell ref="B1:H1"/>
    <mergeCell ref="F44:G44"/>
    <mergeCell ref="E38:F38"/>
    <mergeCell ref="F45:G45"/>
    <mergeCell ref="D8:E8"/>
    <mergeCell ref="B2:H2"/>
    <mergeCell ref="B3:H3"/>
    <mergeCell ref="B4:H4"/>
    <mergeCell ref="G38:H38"/>
    <mergeCell ref="B23:H23"/>
    <mergeCell ref="B24:B25"/>
    <mergeCell ref="C24:C25"/>
    <mergeCell ref="B5:H6"/>
    <mergeCell ref="G42:H42"/>
    <mergeCell ref="G39:H39"/>
    <mergeCell ref="G40:H40"/>
    <mergeCell ref="B16:H16"/>
    <mergeCell ref="G19:H19"/>
    <mergeCell ref="C20:D20"/>
    <mergeCell ref="C19:D19"/>
    <mergeCell ref="E19:F19"/>
    <mergeCell ref="C17:D17"/>
    <mergeCell ref="E17:F17"/>
    <mergeCell ref="G17:H17"/>
    <mergeCell ref="C18:D18"/>
    <mergeCell ref="E18:F18"/>
    <mergeCell ref="G18:H18"/>
    <mergeCell ref="E20:F20"/>
    <mergeCell ref="G20:H20"/>
    <mergeCell ref="F50:G50"/>
    <mergeCell ref="E39:F39"/>
    <mergeCell ref="F46:G46"/>
    <mergeCell ref="E41:F41"/>
    <mergeCell ref="E42:F42"/>
    <mergeCell ref="E40:F40"/>
    <mergeCell ref="F47:G47"/>
    <mergeCell ref="C44:E44"/>
    <mergeCell ref="C46:E46"/>
    <mergeCell ref="C48:E48"/>
    <mergeCell ref="F48:G48"/>
    <mergeCell ref="C50:E50"/>
    <mergeCell ref="C41:D41"/>
    <mergeCell ref="C42:D42"/>
    <mergeCell ref="G41:H41"/>
    <mergeCell ref="G21:H21"/>
    <mergeCell ref="H24:H25"/>
    <mergeCell ref="B37:H37"/>
    <mergeCell ref="D24:D25"/>
    <mergeCell ref="E24:E25"/>
    <mergeCell ref="F24:G24"/>
    <mergeCell ref="C21:D21"/>
    <mergeCell ref="E21:F21"/>
    <mergeCell ref="M23:M24"/>
    <mergeCell ref="N23:N24"/>
    <mergeCell ref="C38:D38"/>
    <mergeCell ref="C39:D39"/>
    <mergeCell ref="C40:D40"/>
  </mergeCells>
  <printOptions horizontalCentered="1"/>
  <pageMargins left="0.19685039370078741" right="0.19685039370078741" top="0.15748031496062992" bottom="0.23622047244094491" header="0.16" footer="0.14000000000000001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V54"/>
  <sheetViews>
    <sheetView topLeftCell="A18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5.140625" style="3" customWidth="1"/>
    <col min="4" max="4" width="9.140625" style="3" customWidth="1"/>
    <col min="5" max="5" width="10" style="3" customWidth="1"/>
    <col min="6" max="6" width="10.28515625" style="1" customWidth="1"/>
    <col min="7" max="7" width="10.42578125" style="1" customWidth="1"/>
    <col min="8" max="8" width="10.5703125" style="1" customWidth="1"/>
    <col min="9" max="9" width="15.7109375" style="1" customWidth="1"/>
    <col min="10" max="10" width="18.7109375" style="1" customWidth="1"/>
    <col min="11" max="12" width="9.140625" style="1"/>
    <col min="13" max="13" width="15.85546875" style="188" customWidth="1"/>
    <col min="14" max="14" width="16.140625" style="188" customWidth="1"/>
    <col min="15" max="15" width="15.140625" style="1" customWidth="1"/>
    <col min="16" max="16" width="16.42578125" style="1" hidden="1" customWidth="1"/>
    <col min="17" max="17" width="12.42578125" style="1" customWidth="1"/>
    <col min="18" max="18" width="13.140625" style="1" customWidth="1"/>
    <col min="19" max="19" width="14.42578125" style="1" customWidth="1"/>
    <col min="20" max="20" width="9.140625" style="1"/>
    <col min="21" max="22" width="11.7109375" style="1" customWidth="1"/>
    <col min="23" max="16384" width="9.140625" style="1"/>
  </cols>
  <sheetData>
    <row r="1" spans="1:22">
      <c r="B1" s="253" t="s">
        <v>119</v>
      </c>
      <c r="C1" s="253"/>
      <c r="D1" s="253"/>
      <c r="E1" s="253"/>
      <c r="F1" s="253"/>
      <c r="G1" s="253"/>
      <c r="H1" s="253"/>
    </row>
    <row r="2" spans="1:22">
      <c r="B2" s="253" t="s">
        <v>120</v>
      </c>
      <c r="C2" s="253"/>
      <c r="D2" s="253"/>
      <c r="E2" s="253"/>
      <c r="F2" s="253"/>
      <c r="G2" s="253"/>
      <c r="H2" s="253"/>
    </row>
    <row r="3" spans="1:22">
      <c r="B3" s="253" t="s">
        <v>159</v>
      </c>
      <c r="C3" s="253"/>
      <c r="D3" s="253"/>
      <c r="E3" s="253"/>
      <c r="F3" s="253"/>
      <c r="G3" s="253"/>
      <c r="H3" s="253"/>
    </row>
    <row r="4" spans="1:22">
      <c r="B4" s="253" t="s">
        <v>179</v>
      </c>
      <c r="C4" s="253"/>
      <c r="D4" s="253"/>
      <c r="E4" s="253"/>
      <c r="F4" s="253"/>
      <c r="G4" s="253"/>
      <c r="H4" s="253"/>
    </row>
    <row r="5" spans="1:22" ht="19.5" customHeight="1">
      <c r="A5" s="72"/>
      <c r="B5" s="254" t="s">
        <v>180</v>
      </c>
      <c r="C5" s="254"/>
      <c r="D5" s="254"/>
      <c r="E5" s="254"/>
      <c r="F5" s="254"/>
      <c r="G5" s="254"/>
      <c r="H5" s="254"/>
      <c r="O5" s="281"/>
      <c r="P5" s="281"/>
      <c r="Q5" s="281"/>
      <c r="R5" s="281"/>
      <c r="S5" s="281"/>
      <c r="T5" s="73"/>
      <c r="U5" s="73"/>
      <c r="V5" s="72"/>
    </row>
    <row r="6" spans="1:22" ht="20.25" customHeight="1">
      <c r="A6" s="72"/>
      <c r="B6" s="254"/>
      <c r="C6" s="254"/>
      <c r="D6" s="254"/>
      <c r="E6" s="254"/>
      <c r="F6" s="254"/>
      <c r="G6" s="254"/>
      <c r="H6" s="254"/>
      <c r="O6" s="281"/>
      <c r="P6" s="281"/>
      <c r="Q6" s="281"/>
      <c r="R6" s="281"/>
      <c r="S6" s="281"/>
      <c r="T6" s="73"/>
      <c r="U6" s="73"/>
      <c r="V6" s="72"/>
    </row>
    <row r="7" spans="1:22" ht="8.25" customHeight="1">
      <c r="B7" s="68"/>
      <c r="C7" s="68"/>
      <c r="D7" s="68"/>
      <c r="E7" s="68"/>
      <c r="F7" s="68"/>
      <c r="G7" s="68"/>
      <c r="H7" s="68"/>
      <c r="O7" s="281"/>
      <c r="P7" s="281"/>
      <c r="Q7" s="281"/>
      <c r="R7" s="281"/>
      <c r="S7" s="281"/>
      <c r="T7" s="34"/>
      <c r="U7" s="34"/>
    </row>
    <row r="8" spans="1:22">
      <c r="B8" s="169" t="s">
        <v>0</v>
      </c>
      <c r="C8" s="178"/>
      <c r="D8" s="261" t="s">
        <v>33</v>
      </c>
      <c r="E8" s="261"/>
      <c r="O8" s="34"/>
      <c r="P8" s="48"/>
      <c r="Q8" s="282"/>
      <c r="R8" s="282"/>
      <c r="S8" s="282"/>
      <c r="T8" s="34"/>
      <c r="U8" s="34"/>
    </row>
    <row r="9" spans="1:22">
      <c r="B9" s="169" t="s">
        <v>1</v>
      </c>
      <c r="C9" s="178"/>
      <c r="D9" s="213">
        <v>1964</v>
      </c>
      <c r="E9" s="213"/>
      <c r="O9" s="34"/>
      <c r="P9" s="48"/>
      <c r="Q9" s="216"/>
      <c r="R9" s="216"/>
      <c r="S9" s="216"/>
      <c r="T9" s="34"/>
      <c r="U9" s="34"/>
    </row>
    <row r="10" spans="1:22" ht="15.75" hidden="1" customHeight="1" outlineLevel="1">
      <c r="B10" s="169" t="s">
        <v>2</v>
      </c>
      <c r="C10" s="178"/>
      <c r="D10" s="213">
        <v>4</v>
      </c>
      <c r="E10" s="213"/>
      <c r="O10" s="34"/>
      <c r="P10" s="48"/>
      <c r="Q10" s="216"/>
      <c r="R10" s="216"/>
      <c r="S10" s="216"/>
      <c r="T10" s="34"/>
      <c r="U10" s="34"/>
    </row>
    <row r="11" spans="1:22" ht="15.75" hidden="1" customHeight="1" outlineLevel="1">
      <c r="B11" s="169" t="s">
        <v>3</v>
      </c>
      <c r="C11" s="178"/>
      <c r="D11" s="213">
        <v>64</v>
      </c>
      <c r="E11" s="213"/>
      <c r="O11" s="34"/>
      <c r="P11" s="48"/>
      <c r="Q11" s="216"/>
      <c r="R11" s="216"/>
      <c r="S11" s="216"/>
      <c r="T11" s="34"/>
      <c r="U11" s="34"/>
    </row>
    <row r="12" spans="1:22" ht="30.75" hidden="1" customHeight="1" outlineLevel="1">
      <c r="B12" s="171" t="s">
        <v>4</v>
      </c>
      <c r="C12" s="179"/>
      <c r="D12" s="213" t="s">
        <v>34</v>
      </c>
      <c r="E12" s="213"/>
      <c r="O12" s="75"/>
      <c r="P12" s="76"/>
      <c r="Q12" s="216"/>
      <c r="R12" s="216"/>
      <c r="S12" s="216"/>
      <c r="T12" s="34"/>
      <c r="U12" s="34"/>
    </row>
    <row r="13" spans="1:22" collapsed="1">
      <c r="B13" s="169" t="s">
        <v>5</v>
      </c>
      <c r="C13" s="178"/>
      <c r="D13" s="213" t="s">
        <v>108</v>
      </c>
      <c r="E13" s="213"/>
      <c r="I13" s="5"/>
      <c r="O13" s="34"/>
      <c r="P13" s="48"/>
      <c r="Q13" s="216"/>
      <c r="R13" s="216"/>
      <c r="S13" s="216"/>
      <c r="T13" s="34"/>
      <c r="U13" s="34"/>
    </row>
    <row r="14" spans="1:22">
      <c r="B14" s="169" t="s">
        <v>6</v>
      </c>
      <c r="C14" s="178"/>
      <c r="D14" s="213" t="s">
        <v>35</v>
      </c>
      <c r="E14" s="213"/>
      <c r="O14" s="34"/>
      <c r="P14" s="48"/>
      <c r="Q14" s="216"/>
      <c r="R14" s="216"/>
      <c r="S14" s="216"/>
      <c r="T14" s="34"/>
      <c r="U14" s="34"/>
    </row>
    <row r="15" spans="1:22" ht="30.75" hidden="1" customHeight="1" outlineLevel="1">
      <c r="B15" s="16" t="s">
        <v>8</v>
      </c>
      <c r="C15" s="74"/>
      <c r="D15" s="214" t="s">
        <v>32</v>
      </c>
      <c r="E15" s="162"/>
      <c r="I15" s="5"/>
      <c r="O15" s="75"/>
      <c r="P15" s="76"/>
      <c r="Q15" s="283"/>
      <c r="R15" s="283"/>
      <c r="S15" s="216"/>
      <c r="T15" s="34"/>
      <c r="U15" s="34"/>
    </row>
    <row r="16" spans="1:22" ht="16.5" collapsed="1" thickBot="1">
      <c r="B16" s="240" t="s">
        <v>177</v>
      </c>
      <c r="C16" s="240"/>
      <c r="D16" s="240"/>
      <c r="E16" s="240"/>
      <c r="F16" s="240"/>
      <c r="G16" s="240"/>
      <c r="H16" s="240"/>
      <c r="I16" s="5"/>
      <c r="O16" s="75"/>
      <c r="P16" s="76"/>
      <c r="Q16" s="217"/>
      <c r="R16" s="217"/>
      <c r="S16" s="216"/>
      <c r="T16" s="34"/>
      <c r="U16" s="34"/>
    </row>
    <row r="17" spans="2:21" ht="45" customHeight="1" thickBot="1">
      <c r="B17" s="187" t="s">
        <v>178</v>
      </c>
      <c r="C17" s="226" t="s">
        <v>101</v>
      </c>
      <c r="D17" s="277"/>
      <c r="E17" s="236" t="s">
        <v>9</v>
      </c>
      <c r="F17" s="277"/>
      <c r="G17" s="236" t="s">
        <v>10</v>
      </c>
      <c r="H17" s="294"/>
      <c r="I17" s="5"/>
      <c r="O17" s="75"/>
      <c r="P17" s="76"/>
      <c r="Q17" s="217"/>
      <c r="R17" s="217"/>
      <c r="S17" s="216"/>
      <c r="T17" s="34"/>
      <c r="U17" s="34"/>
    </row>
    <row r="18" spans="2:21">
      <c r="B18" s="156" t="s">
        <v>11</v>
      </c>
      <c r="C18" s="266">
        <v>3184170.5395148247</v>
      </c>
      <c r="D18" s="279"/>
      <c r="E18" s="266">
        <v>2450643.3870619945</v>
      </c>
      <c r="F18" s="279"/>
      <c r="G18" s="266">
        <v>733527.15245283011</v>
      </c>
      <c r="H18" s="285"/>
      <c r="I18" s="5"/>
      <c r="O18" s="75"/>
      <c r="P18" s="76"/>
      <c r="Q18" s="217"/>
      <c r="R18" s="217"/>
      <c r="S18" s="216"/>
      <c r="T18" s="34"/>
      <c r="U18" s="34"/>
    </row>
    <row r="19" spans="2:21">
      <c r="B19" s="157" t="s">
        <v>12</v>
      </c>
      <c r="C19" s="230">
        <v>3067252.8377628028</v>
      </c>
      <c r="D19" s="280"/>
      <c r="E19" s="230">
        <v>2365711.8338005389</v>
      </c>
      <c r="F19" s="280"/>
      <c r="G19" s="230">
        <v>701541.00396226416</v>
      </c>
      <c r="H19" s="293"/>
      <c r="I19" s="5"/>
      <c r="O19" s="75"/>
      <c r="P19" s="76"/>
      <c r="Q19" s="217"/>
      <c r="R19" s="217"/>
      <c r="S19" s="216"/>
      <c r="T19" s="34"/>
      <c r="U19" s="34"/>
    </row>
    <row r="20" spans="2:21" ht="16.5" thickBot="1">
      <c r="B20" s="158" t="s">
        <v>88</v>
      </c>
      <c r="C20" s="269">
        <v>3245711.7283000001</v>
      </c>
      <c r="D20" s="276"/>
      <c r="E20" s="269">
        <v>2514421.7283000001</v>
      </c>
      <c r="F20" s="276"/>
      <c r="G20" s="269">
        <v>731290</v>
      </c>
      <c r="H20" s="292"/>
      <c r="I20" s="5"/>
      <c r="O20" s="75"/>
      <c r="P20" s="76"/>
      <c r="Q20" s="217"/>
      <c r="R20" s="217"/>
      <c r="S20" s="216"/>
      <c r="T20" s="34"/>
      <c r="U20" s="34"/>
    </row>
    <row r="21" spans="2:21" ht="30.75" customHeight="1" thickBot="1">
      <c r="B21" s="159" t="s">
        <v>146</v>
      </c>
      <c r="C21" s="234">
        <f>E21+G21</f>
        <v>-178458.890537197</v>
      </c>
      <c r="D21" s="277"/>
      <c r="E21" s="245">
        <f>E19-E20</f>
        <v>-148709.89449946117</v>
      </c>
      <c r="F21" s="277"/>
      <c r="G21" s="245">
        <f>G19-G20</f>
        <v>-29748.996037735837</v>
      </c>
      <c r="H21" s="294"/>
      <c r="I21" s="5"/>
      <c r="O21" s="75"/>
      <c r="P21" s="76"/>
      <c r="Q21" s="217"/>
      <c r="R21" s="217"/>
      <c r="S21" s="216"/>
      <c r="T21" s="34"/>
      <c r="U21" s="34"/>
    </row>
    <row r="22" spans="2:21">
      <c r="B22" s="16"/>
      <c r="C22" s="74"/>
      <c r="D22" s="214"/>
      <c r="E22" s="162"/>
      <c r="I22" s="5"/>
      <c r="O22" s="75"/>
      <c r="P22" s="76"/>
      <c r="Q22" s="217"/>
      <c r="R22" s="217"/>
      <c r="S22" s="216"/>
      <c r="T22" s="34"/>
      <c r="U22" s="34"/>
    </row>
    <row r="23" spans="2:21" ht="32.25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2:21" ht="30.75" customHeight="1">
      <c r="B24" s="287" t="s">
        <v>94</v>
      </c>
      <c r="C24" s="289" t="s">
        <v>95</v>
      </c>
      <c r="D24" s="289" t="s">
        <v>116</v>
      </c>
      <c r="E24" s="264" t="s">
        <v>182</v>
      </c>
      <c r="F24" s="284" t="s">
        <v>96</v>
      </c>
      <c r="G24" s="285"/>
      <c r="H24" s="255" t="s">
        <v>122</v>
      </c>
      <c r="L24" s="5"/>
      <c r="M24" s="278"/>
      <c r="N24" s="278"/>
    </row>
    <row r="25" spans="2:21" ht="41.25" customHeight="1" thickBot="1">
      <c r="B25" s="288"/>
      <c r="C25" s="290"/>
      <c r="D25" s="290"/>
      <c r="E25" s="291"/>
      <c r="F25" s="18" t="s">
        <v>81</v>
      </c>
      <c r="G25" s="19" t="s">
        <v>82</v>
      </c>
      <c r="H25" s="286"/>
      <c r="M25" s="191">
        <v>281701.63</v>
      </c>
      <c r="N25" s="189">
        <f>M25*1.05</f>
        <v>295786.71150000003</v>
      </c>
    </row>
    <row r="26" spans="2:21" ht="38.2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29711.813711442788</v>
      </c>
      <c r="G26" s="25">
        <f>$N$25/$N$26*E26</f>
        <v>31197.404397014925</v>
      </c>
      <c r="H26" s="26">
        <f>F26-G26</f>
        <v>-1485.5906855721369</v>
      </c>
      <c r="I26" s="27"/>
      <c r="J26" s="209"/>
      <c r="K26" s="209"/>
      <c r="L26" s="28"/>
      <c r="M26" s="191">
        <f>E35-E33</f>
        <v>10.050000000000001</v>
      </c>
      <c r="N26" s="191">
        <f>E35-E33</f>
        <v>10.050000000000001</v>
      </c>
    </row>
    <row r="27" spans="2:21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33355.715393034821</v>
      </c>
      <c r="G27" s="25">
        <f t="shared" ref="G27:G31" si="1">$N$25/$N$26*E27</f>
        <v>35023.501162686567</v>
      </c>
      <c r="H27" s="26">
        <f t="shared" ref="H27:H32" si="2">F27-G27</f>
        <v>-1667.7857696517458</v>
      </c>
      <c r="I27" s="32"/>
      <c r="J27" s="2"/>
      <c r="K27" s="2"/>
      <c r="L27" s="6" t="s">
        <v>133</v>
      </c>
      <c r="M27" s="194">
        <f>M28/11.13*M26</f>
        <v>0</v>
      </c>
      <c r="N27" s="194">
        <f>N28/11.13*N26</f>
        <v>0</v>
      </c>
    </row>
    <row r="28" spans="2:21" ht="33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8969.604139303483</v>
      </c>
      <c r="G28" s="25">
        <f t="shared" si="1"/>
        <v>9418.0843462686571</v>
      </c>
      <c r="H28" s="26">
        <f t="shared" si="2"/>
        <v>-448.48020696517415</v>
      </c>
      <c r="I28" s="34"/>
      <c r="L28" s="6" t="s">
        <v>131</v>
      </c>
      <c r="M28" s="195"/>
      <c r="N28" s="195"/>
    </row>
    <row r="29" spans="2:21" ht="25.5">
      <c r="B29" s="33" t="s">
        <v>84</v>
      </c>
      <c r="C29" s="35" t="s">
        <v>99</v>
      </c>
      <c r="D29" s="22" t="s">
        <v>98</v>
      </c>
      <c r="E29" s="30">
        <v>0.23</v>
      </c>
      <c r="F29" s="24">
        <f t="shared" si="0"/>
        <v>6446.9029751243779</v>
      </c>
      <c r="G29" s="25">
        <f t="shared" si="1"/>
        <v>6769.2481238805976</v>
      </c>
      <c r="H29" s="26">
        <f t="shared" si="2"/>
        <v>-322.34514875621971</v>
      </c>
      <c r="I29" s="34"/>
      <c r="L29" s="7" t="s">
        <v>134</v>
      </c>
      <c r="M29" s="194">
        <f>M28/11.13*E33</f>
        <v>0</v>
      </c>
      <c r="N29" s="194">
        <f>N28/11.13*E33</f>
        <v>0</v>
      </c>
    </row>
    <row r="30" spans="2:21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33075.415263681592</v>
      </c>
      <c r="G30" s="25">
        <f t="shared" si="1"/>
        <v>34729.186026865667</v>
      </c>
      <c r="H30" s="26">
        <f t="shared" si="2"/>
        <v>-1653.7707631840749</v>
      </c>
      <c r="I30" s="34"/>
    </row>
    <row r="31" spans="2:21" ht="214.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157248.37256716419</v>
      </c>
      <c r="G31" s="25">
        <f t="shared" si="1"/>
        <v>165110.79119552238</v>
      </c>
      <c r="H31" s="26">
        <f t="shared" si="2"/>
        <v>-7862.4186283581948</v>
      </c>
      <c r="I31" s="32"/>
      <c r="J31" s="2"/>
      <c r="K31" s="2"/>
      <c r="L31" s="4"/>
      <c r="M31" s="192"/>
      <c r="N31" s="192"/>
    </row>
    <row r="32" spans="2:21" ht="111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6727.2031044776113</v>
      </c>
      <c r="G32" s="25">
        <f t="shared" ref="G32" si="3">$N$25/$N$26*E32</f>
        <v>7063.5632597014919</v>
      </c>
      <c r="H32" s="26">
        <f t="shared" si="2"/>
        <v>-336.36015522388061</v>
      </c>
      <c r="I32" s="34"/>
    </row>
    <row r="33" spans="2:14" ht="30" customHeight="1">
      <c r="B33" s="33" t="s">
        <v>91</v>
      </c>
      <c r="C33" s="21" t="s">
        <v>97</v>
      </c>
      <c r="D33" s="22" t="s">
        <v>98</v>
      </c>
      <c r="E33" s="30">
        <v>4.2</v>
      </c>
      <c r="F33" s="24">
        <v>117726.05</v>
      </c>
      <c r="G33" s="31">
        <v>57664</v>
      </c>
      <c r="H33" s="26">
        <f>F33-G33</f>
        <v>60062.05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0.22</v>
      </c>
      <c r="F34" s="24">
        <f t="shared" si="0"/>
        <v>6166.6028457711445</v>
      </c>
      <c r="G34" s="25">
        <f t="shared" ref="G34" si="4">$N$25/$N$26*E34</f>
        <v>6474.9329880597015</v>
      </c>
      <c r="H34" s="26">
        <f>F34-G34</f>
        <v>-308.330142288557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14.250000000000002</v>
      </c>
      <c r="F35" s="43">
        <f>SUM(F26:F34)</f>
        <v>399427.68</v>
      </c>
      <c r="G35" s="44">
        <f>SUM(G26:G34)</f>
        <v>353450.71149999998</v>
      </c>
      <c r="H35" s="45">
        <f>SUM(H26:H34)</f>
        <v>45976.968500000017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39.75" customHeight="1" thickBot="1">
      <c r="B38" s="187" t="s">
        <v>183</v>
      </c>
      <c r="C38" s="226" t="s">
        <v>101</v>
      </c>
      <c r="D38" s="277"/>
      <c r="E38" s="236" t="s">
        <v>9</v>
      </c>
      <c r="F38" s="277"/>
      <c r="G38" s="236" t="s">
        <v>10</v>
      </c>
      <c r="H38" s="294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66">
        <f>E39+G39</f>
        <v>3583598.2195148245</v>
      </c>
      <c r="D39" s="279"/>
      <c r="E39" s="266">
        <f>F26+F27+F28+F29+F30+F31+F32+F34+E18</f>
        <v>2732345.0170619944</v>
      </c>
      <c r="F39" s="279"/>
      <c r="G39" s="266">
        <f>F33+G18</f>
        <v>851253.20245283016</v>
      </c>
      <c r="H39" s="285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3436552.0977628031</v>
      </c>
      <c r="D40" s="280"/>
      <c r="E40" s="230">
        <f>E19+N27+260453.16</f>
        <v>2626164.9938005391</v>
      </c>
      <c r="F40" s="280"/>
      <c r="G40" s="230">
        <f>G19+N29+108846.1</f>
        <v>810387.10396226414</v>
      </c>
      <c r="H40" s="293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69">
        <f>E41+G41</f>
        <v>3599162.4397999998</v>
      </c>
      <c r="D41" s="276"/>
      <c r="E41" s="269">
        <f>G26+G27+G28+G29+G30+G31+G32+G34+E20</f>
        <v>2810208.4397999998</v>
      </c>
      <c r="F41" s="276"/>
      <c r="G41" s="269">
        <f>G33+G20</f>
        <v>788954</v>
      </c>
      <c r="H41" s="292"/>
      <c r="I41" s="165"/>
      <c r="J41" s="49"/>
      <c r="K41" s="34"/>
      <c r="L41" s="34"/>
    </row>
    <row r="42" spans="2:14" ht="36" customHeight="1" thickBot="1">
      <c r="B42" s="159" t="s">
        <v>147</v>
      </c>
      <c r="C42" s="234">
        <f>E42+G42</f>
        <v>-162610.34203719662</v>
      </c>
      <c r="D42" s="277"/>
      <c r="E42" s="245">
        <f>E40-E41</f>
        <v>-184043.44599946076</v>
      </c>
      <c r="F42" s="277"/>
      <c r="G42" s="245">
        <f>G40-G41</f>
        <v>21433.10396226414</v>
      </c>
      <c r="H42" s="294"/>
      <c r="I42" s="168"/>
      <c r="J42" s="153"/>
      <c r="K42" s="34"/>
      <c r="L42" s="34"/>
    </row>
    <row r="43" spans="2:14" ht="13.5" customHeight="1">
      <c r="B43" s="79"/>
      <c r="C43" s="151"/>
      <c r="D43" s="151"/>
      <c r="E43" s="153"/>
      <c r="F43" s="153"/>
      <c r="G43" s="153"/>
      <c r="H43" s="153"/>
      <c r="I43" s="53"/>
      <c r="J43" s="2"/>
      <c r="K43" s="2"/>
      <c r="L43" s="2"/>
      <c r="M43" s="192"/>
      <c r="N43" s="192"/>
    </row>
    <row r="44" spans="2:14" ht="1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53"/>
      <c r="J44" s="2"/>
      <c r="K44" s="2"/>
      <c r="L44" s="2"/>
      <c r="M44" s="192"/>
      <c r="N44" s="192"/>
    </row>
    <row r="45" spans="2:14" ht="9.75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2.75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4.5" customHeight="1">
      <c r="B47" s="53"/>
      <c r="C47" s="54"/>
      <c r="D47" s="54"/>
      <c r="E47" s="222"/>
      <c r="F47" s="249"/>
      <c r="G47" s="249"/>
      <c r="H47" s="53"/>
      <c r="I47" s="53"/>
    </row>
    <row r="48" spans="2:14" ht="16.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7.5" customHeight="1">
      <c r="B49" s="55"/>
      <c r="C49" s="56"/>
      <c r="D49" s="56"/>
      <c r="E49" s="222"/>
      <c r="F49" s="203"/>
      <c r="G49" s="55"/>
      <c r="H49" s="57"/>
      <c r="I49" s="53"/>
    </row>
    <row r="50" spans="2:9" ht="13.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3"/>
    </row>
    <row r="51" spans="2:9">
      <c r="B51" s="9"/>
      <c r="C51" s="70"/>
      <c r="D51" s="71"/>
      <c r="E51" s="222"/>
      <c r="F51" s="9"/>
      <c r="G51" s="9"/>
    </row>
    <row r="54" spans="2:9">
      <c r="B54" s="9"/>
    </row>
  </sheetData>
  <mergeCells count="60">
    <mergeCell ref="B2:H2"/>
    <mergeCell ref="B3:H3"/>
    <mergeCell ref="B4:H4"/>
    <mergeCell ref="G38:H38"/>
    <mergeCell ref="G17:H17"/>
    <mergeCell ref="C18:D18"/>
    <mergeCell ref="E18:F18"/>
    <mergeCell ref="G18:H18"/>
    <mergeCell ref="C19:D19"/>
    <mergeCell ref="E19:F19"/>
    <mergeCell ref="G19:H19"/>
    <mergeCell ref="C20:D20"/>
    <mergeCell ref="C21:D21"/>
    <mergeCell ref="E21:F21"/>
    <mergeCell ref="G21:H21"/>
    <mergeCell ref="B1:H1"/>
    <mergeCell ref="F50:G50"/>
    <mergeCell ref="F46:G46"/>
    <mergeCell ref="E40:F40"/>
    <mergeCell ref="F47:G47"/>
    <mergeCell ref="E39:F39"/>
    <mergeCell ref="E42:F42"/>
    <mergeCell ref="B5:H6"/>
    <mergeCell ref="G39:H39"/>
    <mergeCell ref="D24:D25"/>
    <mergeCell ref="F44:G44"/>
    <mergeCell ref="E41:F41"/>
    <mergeCell ref="F45:G45"/>
    <mergeCell ref="G40:H40"/>
    <mergeCell ref="G41:H41"/>
    <mergeCell ref="G42:H42"/>
    <mergeCell ref="O5:S7"/>
    <mergeCell ref="Q8:S8"/>
    <mergeCell ref="Q15:R15"/>
    <mergeCell ref="F24:G24"/>
    <mergeCell ref="B37:H37"/>
    <mergeCell ref="B23:H23"/>
    <mergeCell ref="H24:H25"/>
    <mergeCell ref="B24:B25"/>
    <mergeCell ref="C24:C25"/>
    <mergeCell ref="D8:E8"/>
    <mergeCell ref="E24:E25"/>
    <mergeCell ref="B16:H16"/>
    <mergeCell ref="C17:D17"/>
    <mergeCell ref="E17:F17"/>
    <mergeCell ref="E20:F20"/>
    <mergeCell ref="G20:H20"/>
    <mergeCell ref="M23:M24"/>
    <mergeCell ref="N23:N24"/>
    <mergeCell ref="C38:D38"/>
    <mergeCell ref="C39:D39"/>
    <mergeCell ref="C40:D40"/>
    <mergeCell ref="E38:F38"/>
    <mergeCell ref="F48:G48"/>
    <mergeCell ref="C50:E50"/>
    <mergeCell ref="C41:D41"/>
    <mergeCell ref="C42:D42"/>
    <mergeCell ref="C44:E44"/>
    <mergeCell ref="C46:E46"/>
    <mergeCell ref="C48:E48"/>
  </mergeCells>
  <printOptions horizontalCentered="1"/>
  <pageMargins left="0.19685039370078741" right="0.19685039370078741" top="0.15748031496062992" bottom="0.24" header="0.16" footer="0.24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U51"/>
  <sheetViews>
    <sheetView topLeftCell="A18" zoomScale="110" zoomScaleNormal="110" workbookViewId="0">
      <selection activeCell="B1" sqref="B1:H50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5.140625" style="15" customWidth="1"/>
    <col min="4" max="4" width="9.5703125" style="3" customWidth="1"/>
    <col min="5" max="5" width="10.140625" style="3" customWidth="1"/>
    <col min="6" max="6" width="10.140625" style="1" customWidth="1"/>
    <col min="7" max="7" width="10.28515625" style="1" customWidth="1"/>
    <col min="8" max="8" width="10.42578125" style="1" customWidth="1"/>
    <col min="9" max="9" width="14.7109375" style="1" customWidth="1"/>
    <col min="10" max="10" width="15.42578125" style="1" customWidth="1"/>
    <col min="11" max="12" width="9.140625" style="1"/>
    <col min="13" max="13" width="16.140625" style="188" customWidth="1"/>
    <col min="14" max="14" width="18.42578125" style="188" customWidth="1"/>
    <col min="15" max="15" width="0" style="1" hidden="1" customWidth="1"/>
    <col min="16" max="16" width="10.42578125" style="1" customWidth="1"/>
    <col min="17" max="17" width="11.85546875" style="1" customWidth="1"/>
    <col min="18" max="19" width="9.140625" style="1"/>
    <col min="20" max="20" width="10" style="1" customWidth="1"/>
    <col min="21" max="21" width="11" style="1" customWidth="1"/>
    <col min="22" max="16384" width="9.140625" style="1"/>
  </cols>
  <sheetData>
    <row r="1" spans="1:21">
      <c r="A1" s="6"/>
      <c r="B1" s="253" t="s">
        <v>119</v>
      </c>
      <c r="C1" s="253"/>
      <c r="D1" s="253"/>
      <c r="E1" s="253"/>
      <c r="F1" s="253"/>
      <c r="G1" s="253"/>
      <c r="H1" s="253"/>
      <c r="N1" s="195"/>
      <c r="O1" s="58"/>
      <c r="P1" s="57"/>
      <c r="Q1" s="57"/>
      <c r="R1" s="57"/>
      <c r="S1" s="6"/>
      <c r="T1" s="6"/>
      <c r="U1" s="6"/>
    </row>
    <row r="2" spans="1:21">
      <c r="A2" s="6"/>
      <c r="B2" s="253" t="s">
        <v>120</v>
      </c>
      <c r="C2" s="253"/>
      <c r="D2" s="253"/>
      <c r="E2" s="253"/>
      <c r="F2" s="253"/>
      <c r="G2" s="253"/>
      <c r="H2" s="253"/>
      <c r="N2" s="195"/>
      <c r="O2" s="58"/>
      <c r="P2" s="57"/>
      <c r="Q2" s="57"/>
      <c r="R2" s="57"/>
      <c r="S2" s="6"/>
      <c r="T2" s="6"/>
      <c r="U2" s="6"/>
    </row>
    <row r="3" spans="1:21">
      <c r="A3" s="6"/>
      <c r="B3" s="253" t="s">
        <v>160</v>
      </c>
      <c r="C3" s="253"/>
      <c r="D3" s="253"/>
      <c r="E3" s="253"/>
      <c r="F3" s="253"/>
      <c r="G3" s="253"/>
      <c r="H3" s="253"/>
      <c r="N3" s="195"/>
      <c r="O3" s="58"/>
      <c r="P3" s="57"/>
      <c r="Q3" s="57"/>
      <c r="R3" s="57"/>
      <c r="S3" s="6"/>
      <c r="T3" s="6"/>
      <c r="U3" s="6"/>
    </row>
    <row r="4" spans="1:21">
      <c r="A4" s="6"/>
      <c r="B4" s="253" t="s">
        <v>179</v>
      </c>
      <c r="C4" s="253"/>
      <c r="D4" s="253"/>
      <c r="E4" s="253"/>
      <c r="F4" s="253"/>
      <c r="G4" s="253"/>
      <c r="H4" s="253"/>
      <c r="N4" s="195"/>
      <c r="O4" s="58"/>
      <c r="P4" s="57"/>
      <c r="Q4" s="57"/>
      <c r="R4" s="57"/>
      <c r="S4" s="6"/>
      <c r="T4" s="6"/>
      <c r="U4" s="6"/>
    </row>
    <row r="5" spans="1:21" ht="19.5" customHeight="1">
      <c r="A5" s="77"/>
      <c r="B5" s="254" t="s">
        <v>180</v>
      </c>
      <c r="C5" s="254"/>
      <c r="D5" s="254"/>
      <c r="E5" s="254"/>
      <c r="F5" s="254"/>
      <c r="G5" s="254"/>
      <c r="H5" s="254"/>
      <c r="N5" s="295"/>
      <c r="O5" s="295"/>
      <c r="P5" s="295"/>
      <c r="Q5" s="295"/>
      <c r="R5" s="295"/>
      <c r="S5" s="218"/>
      <c r="T5" s="218"/>
      <c r="U5" s="78"/>
    </row>
    <row r="6" spans="1:21" ht="20.25" customHeight="1">
      <c r="A6" s="77"/>
      <c r="B6" s="254"/>
      <c r="C6" s="254"/>
      <c r="D6" s="254"/>
      <c r="E6" s="254"/>
      <c r="F6" s="254"/>
      <c r="G6" s="254"/>
      <c r="H6" s="254"/>
      <c r="N6" s="196"/>
      <c r="O6" s="218"/>
      <c r="P6" s="218"/>
      <c r="Q6" s="218"/>
      <c r="R6" s="218"/>
      <c r="S6" s="218"/>
      <c r="T6" s="218"/>
      <c r="U6" s="78"/>
    </row>
    <row r="7" spans="1:21" ht="9.75" customHeight="1">
      <c r="A7" s="77"/>
      <c r="B7" s="221"/>
      <c r="C7" s="221"/>
      <c r="D7" s="221"/>
      <c r="E7" s="221"/>
      <c r="F7" s="221"/>
      <c r="G7" s="221"/>
      <c r="H7" s="221"/>
      <c r="N7" s="196"/>
      <c r="O7" s="218"/>
      <c r="P7" s="218"/>
      <c r="Q7" s="218"/>
      <c r="R7" s="218"/>
      <c r="S7" s="218"/>
      <c r="T7" s="218"/>
      <c r="U7" s="78"/>
    </row>
    <row r="8" spans="1:21">
      <c r="A8" s="6"/>
      <c r="B8" s="169" t="s">
        <v>0</v>
      </c>
      <c r="C8" s="170"/>
      <c r="D8" s="261" t="s">
        <v>36</v>
      </c>
      <c r="E8" s="261"/>
      <c r="F8" s="6"/>
      <c r="G8" s="6"/>
      <c r="H8" s="6"/>
      <c r="N8" s="197"/>
      <c r="O8" s="12"/>
      <c r="P8" s="296"/>
      <c r="Q8" s="296"/>
      <c r="R8" s="296"/>
      <c r="S8" s="50"/>
      <c r="T8" s="50"/>
      <c r="U8" s="6"/>
    </row>
    <row r="9" spans="1:21">
      <c r="A9" s="6"/>
      <c r="B9" s="169" t="s">
        <v>1</v>
      </c>
      <c r="C9" s="170"/>
      <c r="D9" s="213">
        <v>1966</v>
      </c>
      <c r="E9" s="213"/>
      <c r="F9" s="6"/>
      <c r="G9" s="6"/>
      <c r="H9" s="6"/>
      <c r="N9" s="197"/>
      <c r="O9" s="12"/>
      <c r="P9" s="219"/>
      <c r="Q9" s="219"/>
      <c r="R9" s="219"/>
      <c r="S9" s="50"/>
      <c r="T9" s="50"/>
      <c r="U9" s="6"/>
    </row>
    <row r="10" spans="1:21" hidden="1" outlineLevel="1">
      <c r="A10" s="6"/>
      <c r="B10" s="169" t="s">
        <v>2</v>
      </c>
      <c r="C10" s="170"/>
      <c r="D10" s="213">
        <v>4</v>
      </c>
      <c r="E10" s="213"/>
      <c r="F10" s="6"/>
      <c r="G10" s="6"/>
      <c r="H10" s="6"/>
      <c r="N10" s="197"/>
      <c r="O10" s="12"/>
      <c r="P10" s="219"/>
      <c r="Q10" s="219"/>
      <c r="R10" s="219"/>
      <c r="S10" s="50"/>
      <c r="T10" s="50"/>
      <c r="U10" s="6"/>
    </row>
    <row r="11" spans="1:21" hidden="1" outlineLevel="1">
      <c r="A11" s="6"/>
      <c r="B11" s="169" t="s">
        <v>3</v>
      </c>
      <c r="C11" s="170"/>
      <c r="D11" s="213">
        <v>32</v>
      </c>
      <c r="E11" s="213"/>
      <c r="F11" s="6"/>
      <c r="G11" s="6"/>
      <c r="H11" s="6"/>
      <c r="N11" s="197"/>
      <c r="O11" s="12"/>
      <c r="P11" s="219"/>
      <c r="Q11" s="219"/>
      <c r="R11" s="219"/>
      <c r="S11" s="50"/>
      <c r="T11" s="50"/>
      <c r="U11" s="6"/>
    </row>
    <row r="12" spans="1:21" ht="30.75" hidden="1" customHeight="1" outlineLevel="1">
      <c r="A12" s="6"/>
      <c r="B12" s="171" t="s">
        <v>4</v>
      </c>
      <c r="C12" s="172"/>
      <c r="D12" s="213" t="s">
        <v>37</v>
      </c>
      <c r="E12" s="213"/>
      <c r="F12" s="6"/>
      <c r="G12" s="6"/>
      <c r="H12" s="6"/>
      <c r="N12" s="198"/>
      <c r="O12" s="80"/>
      <c r="P12" s="219"/>
      <c r="Q12" s="219"/>
      <c r="R12" s="219"/>
      <c r="S12" s="50"/>
      <c r="T12" s="50"/>
      <c r="U12" s="6"/>
    </row>
    <row r="13" spans="1:21" collapsed="1">
      <c r="A13" s="6"/>
      <c r="B13" s="169" t="s">
        <v>5</v>
      </c>
      <c r="C13" s="170"/>
      <c r="D13" s="213" t="s">
        <v>109</v>
      </c>
      <c r="E13" s="213"/>
      <c r="F13" s="6"/>
      <c r="G13" s="6"/>
      <c r="H13" s="6"/>
      <c r="I13" s="5"/>
      <c r="N13" s="197"/>
      <c r="O13" s="12"/>
      <c r="P13" s="219"/>
      <c r="Q13" s="219"/>
      <c r="R13" s="219"/>
      <c r="S13" s="50"/>
      <c r="T13" s="50"/>
      <c r="U13" s="6"/>
    </row>
    <row r="14" spans="1:21" hidden="1" outlineLevel="1">
      <c r="A14" s="6"/>
      <c r="B14" s="6" t="s">
        <v>6</v>
      </c>
      <c r="C14" s="58"/>
      <c r="D14" s="215" t="s">
        <v>7</v>
      </c>
      <c r="E14" s="215"/>
      <c r="F14" s="6"/>
      <c r="G14" s="6"/>
      <c r="H14" s="6"/>
      <c r="N14" s="197"/>
      <c r="O14" s="12"/>
      <c r="P14" s="219"/>
      <c r="Q14" s="219"/>
      <c r="R14" s="219"/>
      <c r="S14" s="50"/>
      <c r="T14" s="50"/>
      <c r="U14" s="6"/>
    </row>
    <row r="15" spans="1:21" ht="30.75" hidden="1" customHeight="1" outlineLevel="1">
      <c r="A15" s="6"/>
      <c r="B15" s="59" t="s">
        <v>8</v>
      </c>
      <c r="C15" s="60"/>
      <c r="D15" s="154" t="s">
        <v>38</v>
      </c>
      <c r="E15" s="215"/>
      <c r="F15" s="6"/>
      <c r="G15" s="6"/>
      <c r="H15" s="6"/>
      <c r="I15" s="5"/>
      <c r="N15" s="198"/>
      <c r="O15" s="80"/>
      <c r="P15" s="297"/>
      <c r="Q15" s="297"/>
      <c r="R15" s="219"/>
      <c r="S15" s="50"/>
      <c r="T15" s="50"/>
      <c r="U15" s="6"/>
    </row>
    <row r="16" spans="1:21" ht="16.5" collapsed="1" thickBot="1">
      <c r="A16" s="6"/>
      <c r="B16" s="240" t="s">
        <v>177</v>
      </c>
      <c r="C16" s="240"/>
      <c r="D16" s="240"/>
      <c r="E16" s="240"/>
      <c r="F16" s="240"/>
      <c r="G16" s="240"/>
      <c r="H16" s="240"/>
      <c r="I16" s="5"/>
      <c r="N16" s="198"/>
      <c r="O16" s="80"/>
      <c r="P16" s="220"/>
      <c r="Q16" s="220"/>
      <c r="R16" s="219"/>
      <c r="S16" s="50"/>
      <c r="T16" s="50"/>
      <c r="U16" s="6"/>
    </row>
    <row r="17" spans="1:21" ht="40.5" customHeight="1" thickBot="1">
      <c r="A17" s="6"/>
      <c r="B17" s="187" t="s">
        <v>178</v>
      </c>
      <c r="C17" s="226" t="s">
        <v>101</v>
      </c>
      <c r="D17" s="227"/>
      <c r="E17" s="236" t="s">
        <v>9</v>
      </c>
      <c r="F17" s="237"/>
      <c r="G17" s="236" t="s">
        <v>10</v>
      </c>
      <c r="H17" s="243"/>
      <c r="I17" s="5"/>
      <c r="N17" s="198"/>
      <c r="O17" s="80"/>
      <c r="P17" s="220"/>
      <c r="Q17" s="220"/>
      <c r="R17" s="219"/>
      <c r="S17" s="50"/>
      <c r="T17" s="50"/>
      <c r="U17" s="6"/>
    </row>
    <row r="18" spans="1:21">
      <c r="A18" s="6"/>
      <c r="B18" s="156" t="s">
        <v>11</v>
      </c>
      <c r="C18" s="266">
        <v>2296007.41</v>
      </c>
      <c r="D18" s="267"/>
      <c r="E18" s="228">
        <v>1720742.3000000003</v>
      </c>
      <c r="F18" s="229"/>
      <c r="G18" s="228">
        <v>575265.1100000001</v>
      </c>
      <c r="H18" s="244"/>
      <c r="I18" s="5"/>
      <c r="N18" s="198"/>
      <c r="O18" s="80"/>
      <c r="P18" s="220"/>
      <c r="Q18" s="220"/>
      <c r="R18" s="219"/>
      <c r="S18" s="50"/>
      <c r="T18" s="50"/>
      <c r="U18" s="6"/>
    </row>
    <row r="19" spans="1:21">
      <c r="A19" s="6"/>
      <c r="B19" s="157" t="s">
        <v>12</v>
      </c>
      <c r="C19" s="230">
        <v>2217245.3099999996</v>
      </c>
      <c r="D19" s="268"/>
      <c r="E19" s="230">
        <v>1661680.0099999998</v>
      </c>
      <c r="F19" s="231"/>
      <c r="G19" s="230">
        <v>555565.30000000005</v>
      </c>
      <c r="H19" s="241"/>
      <c r="I19" s="5"/>
      <c r="N19" s="198"/>
      <c r="O19" s="80"/>
      <c r="P19" s="220"/>
      <c r="Q19" s="220"/>
      <c r="R19" s="219"/>
      <c r="S19" s="50"/>
      <c r="T19" s="50"/>
      <c r="U19" s="6"/>
    </row>
    <row r="20" spans="1:21" ht="16.5" thickBot="1">
      <c r="A20" s="6"/>
      <c r="B20" s="158" t="s">
        <v>88</v>
      </c>
      <c r="C20" s="269">
        <v>2115552.1321</v>
      </c>
      <c r="D20" s="270"/>
      <c r="E20" s="232">
        <v>1724048.1321</v>
      </c>
      <c r="F20" s="233"/>
      <c r="G20" s="232">
        <v>391504</v>
      </c>
      <c r="H20" s="242"/>
      <c r="I20" s="5"/>
      <c r="N20" s="198"/>
      <c r="O20" s="80"/>
      <c r="P20" s="220"/>
      <c r="Q20" s="220"/>
      <c r="R20" s="219"/>
      <c r="S20" s="50"/>
      <c r="T20" s="50"/>
      <c r="U20" s="6"/>
    </row>
    <row r="21" spans="1:21" ht="36.75" thickBot="1">
      <c r="A21" s="6"/>
      <c r="B21" s="159" t="s">
        <v>146</v>
      </c>
      <c r="C21" s="234">
        <f>E21+G21</f>
        <v>101693.17789999978</v>
      </c>
      <c r="D21" s="235"/>
      <c r="E21" s="245">
        <f>E19-E20</f>
        <v>-62368.12210000027</v>
      </c>
      <c r="F21" s="246"/>
      <c r="G21" s="245">
        <f>G19-G20</f>
        <v>164061.30000000005</v>
      </c>
      <c r="H21" s="247"/>
      <c r="I21" s="5"/>
      <c r="N21" s="198"/>
      <c r="O21" s="80"/>
      <c r="P21" s="220"/>
      <c r="Q21" s="220"/>
      <c r="R21" s="219"/>
      <c r="S21" s="50"/>
      <c r="T21" s="50"/>
      <c r="U21" s="6"/>
    </row>
    <row r="22" spans="1:21">
      <c r="A22" s="6"/>
      <c r="B22" s="59"/>
      <c r="C22" s="60"/>
      <c r="D22" s="154"/>
      <c r="E22" s="215"/>
      <c r="F22" s="6"/>
      <c r="G22" s="6"/>
      <c r="H22" s="6"/>
      <c r="I22" s="5"/>
      <c r="N22" s="198"/>
      <c r="O22" s="80"/>
      <c r="P22" s="220"/>
      <c r="Q22" s="220"/>
      <c r="R22" s="219"/>
      <c r="S22" s="50"/>
      <c r="T22" s="50"/>
      <c r="U22" s="6"/>
    </row>
    <row r="23" spans="1:21" ht="30" customHeight="1" thickBot="1">
      <c r="B23" s="263" t="s">
        <v>181</v>
      </c>
      <c r="C23" s="263"/>
      <c r="D23" s="263"/>
      <c r="E23" s="263"/>
      <c r="F23" s="263"/>
      <c r="G23" s="263"/>
      <c r="H23" s="263"/>
      <c r="L23" s="5"/>
      <c r="M23" s="224" t="s">
        <v>148</v>
      </c>
      <c r="N23" s="224" t="s">
        <v>149</v>
      </c>
    </row>
    <row r="24" spans="1:21" ht="34.5" customHeight="1">
      <c r="B24" s="259" t="s">
        <v>94</v>
      </c>
      <c r="C24" s="257" t="s">
        <v>95</v>
      </c>
      <c r="D24" s="257" t="s">
        <v>116</v>
      </c>
      <c r="E24" s="264" t="s">
        <v>182</v>
      </c>
      <c r="F24" s="238" t="s">
        <v>96</v>
      </c>
      <c r="G24" s="239"/>
      <c r="H24" s="255" t="s">
        <v>122</v>
      </c>
      <c r="L24" s="5"/>
      <c r="M24" s="225"/>
      <c r="N24" s="225"/>
    </row>
    <row r="25" spans="1:21" ht="39.75" customHeight="1" thickBot="1">
      <c r="B25" s="260"/>
      <c r="C25" s="258"/>
      <c r="D25" s="258"/>
      <c r="E25" s="265"/>
      <c r="F25" s="18" t="s">
        <v>81</v>
      </c>
      <c r="G25" s="19" t="s">
        <v>82</v>
      </c>
      <c r="H25" s="256"/>
      <c r="M25" s="189">
        <v>192561.65</v>
      </c>
      <c r="N25" s="189">
        <f>M25*1.05</f>
        <v>202189.73250000001</v>
      </c>
    </row>
    <row r="26" spans="1:21" ht="40.5" customHeight="1">
      <c r="B26" s="20" t="s">
        <v>86</v>
      </c>
      <c r="C26" s="21" t="s">
        <v>97</v>
      </c>
      <c r="D26" s="22" t="s">
        <v>98</v>
      </c>
      <c r="E26" s="23">
        <v>1.06</v>
      </c>
      <c r="F26" s="24">
        <f>$M$25/$M$26*E26</f>
        <v>19076.200841121496</v>
      </c>
      <c r="G26" s="25">
        <f>$N$25/$N$26*E26</f>
        <v>20030.010883177576</v>
      </c>
      <c r="H26" s="26">
        <f>F26-G26</f>
        <v>-953.81004205608042</v>
      </c>
      <c r="I26" s="27"/>
      <c r="J26" s="209"/>
      <c r="K26" s="209"/>
      <c r="L26" s="28"/>
      <c r="M26" s="191">
        <f>E35-E33</f>
        <v>10.7</v>
      </c>
      <c r="N26" s="191">
        <f>E35-E33</f>
        <v>10.7</v>
      </c>
    </row>
    <row r="27" spans="1:21" ht="51">
      <c r="B27" s="29" t="s">
        <v>90</v>
      </c>
      <c r="C27" s="21" t="s">
        <v>97</v>
      </c>
      <c r="D27" s="22" t="s">
        <v>98</v>
      </c>
      <c r="E27" s="30">
        <v>1.19</v>
      </c>
      <c r="F27" s="24">
        <f t="shared" ref="F27:F34" si="0">$M$25/$M$26*E27</f>
        <v>21415.734906542057</v>
      </c>
      <c r="G27" s="25">
        <f t="shared" ref="G27:G31" si="1">$N$25/$N$26*E27</f>
        <v>22486.521651869163</v>
      </c>
      <c r="H27" s="26">
        <f t="shared" ref="H27:H32" si="2">F27-G27</f>
        <v>-1070.7867453271065</v>
      </c>
      <c r="I27" s="32"/>
      <c r="J27" s="2"/>
      <c r="K27" s="2"/>
      <c r="L27" s="2"/>
      <c r="M27" s="192"/>
      <c r="N27" s="192"/>
    </row>
    <row r="28" spans="1:21" ht="31.5" customHeight="1">
      <c r="B28" s="33" t="s">
        <v>83</v>
      </c>
      <c r="C28" s="21" t="s">
        <v>97</v>
      </c>
      <c r="D28" s="22" t="s">
        <v>98</v>
      </c>
      <c r="E28" s="30">
        <v>0.32</v>
      </c>
      <c r="F28" s="24">
        <f t="shared" si="0"/>
        <v>5758.8530841121501</v>
      </c>
      <c r="G28" s="25">
        <f t="shared" si="1"/>
        <v>6046.7957383177582</v>
      </c>
      <c r="H28" s="26">
        <f t="shared" si="2"/>
        <v>-287.94265420560805</v>
      </c>
      <c r="I28" s="34"/>
      <c r="L28" s="5"/>
    </row>
    <row r="29" spans="1:21" ht="25.5">
      <c r="B29" s="33" t="s">
        <v>84</v>
      </c>
      <c r="C29" s="35" t="s">
        <v>99</v>
      </c>
      <c r="D29" s="22" t="s">
        <v>98</v>
      </c>
      <c r="E29" s="30">
        <v>0.18</v>
      </c>
      <c r="F29" s="24">
        <f t="shared" si="0"/>
        <v>3239.3548598130842</v>
      </c>
      <c r="G29" s="25">
        <f t="shared" si="1"/>
        <v>3401.3226028037388</v>
      </c>
      <c r="H29" s="26">
        <f t="shared" si="2"/>
        <v>-161.96774299065464</v>
      </c>
      <c r="I29" s="34"/>
      <c r="L29" s="5"/>
    </row>
    <row r="30" spans="1:21" ht="51">
      <c r="B30" s="29" t="s">
        <v>87</v>
      </c>
      <c r="C30" s="21" t="s">
        <v>137</v>
      </c>
      <c r="D30" s="22" t="s">
        <v>98</v>
      </c>
      <c r="E30" s="30">
        <v>1.18</v>
      </c>
      <c r="F30" s="24">
        <f t="shared" si="0"/>
        <v>21235.770747663551</v>
      </c>
      <c r="G30" s="25">
        <f t="shared" si="1"/>
        <v>22297.559285046733</v>
      </c>
      <c r="H30" s="26">
        <f t="shared" si="2"/>
        <v>-1061.7885373831814</v>
      </c>
      <c r="I30" s="34"/>
    </row>
    <row r="31" spans="1:21" ht="217.5" customHeight="1">
      <c r="B31" s="29" t="s">
        <v>121</v>
      </c>
      <c r="C31" s="21" t="s">
        <v>100</v>
      </c>
      <c r="D31" s="22" t="s">
        <v>98</v>
      </c>
      <c r="E31" s="30">
        <v>5.61</v>
      </c>
      <c r="F31" s="24">
        <f t="shared" si="0"/>
        <v>100959.89313084113</v>
      </c>
      <c r="G31" s="25">
        <f t="shared" si="1"/>
        <v>106007.8877873832</v>
      </c>
      <c r="H31" s="26">
        <f t="shared" si="2"/>
        <v>-5047.9946565420687</v>
      </c>
      <c r="I31" s="32"/>
      <c r="J31" s="2"/>
      <c r="K31" s="2"/>
      <c r="L31" s="4"/>
      <c r="M31" s="192"/>
      <c r="N31" s="192"/>
    </row>
    <row r="32" spans="1:21" ht="105.75" customHeight="1">
      <c r="B32" s="29" t="s">
        <v>102</v>
      </c>
      <c r="C32" s="21" t="s">
        <v>97</v>
      </c>
      <c r="D32" s="22" t="s">
        <v>98</v>
      </c>
      <c r="E32" s="30">
        <v>0.24</v>
      </c>
      <c r="F32" s="24">
        <f t="shared" si="0"/>
        <v>4319.1398130841117</v>
      </c>
      <c r="G32" s="25">
        <f t="shared" ref="G32" si="3">$N$25/$N$26*E32</f>
        <v>4535.0968037383182</v>
      </c>
      <c r="H32" s="26">
        <f t="shared" si="2"/>
        <v>-215.95699065420649</v>
      </c>
      <c r="I32" s="34"/>
    </row>
    <row r="33" spans="2:14" ht="25.5" customHeight="1">
      <c r="B33" s="33" t="s">
        <v>91</v>
      </c>
      <c r="C33" s="21" t="s">
        <v>97</v>
      </c>
      <c r="D33" s="22" t="s">
        <v>98</v>
      </c>
      <c r="E33" s="30">
        <v>3.83</v>
      </c>
      <c r="F33" s="24">
        <v>68926.27</v>
      </c>
      <c r="G33" s="31">
        <v>167015</v>
      </c>
      <c r="H33" s="26">
        <f>F33-G33</f>
        <v>-98088.73</v>
      </c>
      <c r="I33" s="34"/>
      <c r="L33" s="5"/>
    </row>
    <row r="34" spans="2:14" ht="16.5" thickBot="1">
      <c r="B34" s="63" t="s">
        <v>85</v>
      </c>
      <c r="C34" s="37" t="s">
        <v>100</v>
      </c>
      <c r="D34" s="38" t="s">
        <v>98</v>
      </c>
      <c r="E34" s="39">
        <v>0.92</v>
      </c>
      <c r="F34" s="24">
        <f t="shared" si="0"/>
        <v>16556.702616822429</v>
      </c>
      <c r="G34" s="25">
        <f t="shared" ref="G34" si="4">$N$25/$N$26*E34</f>
        <v>17384.537747663555</v>
      </c>
      <c r="H34" s="26">
        <f>F34-G34</f>
        <v>-827.83513084112565</v>
      </c>
      <c r="I34" s="34"/>
    </row>
    <row r="35" spans="2:14" ht="16.5" thickBot="1">
      <c r="B35" s="40" t="s">
        <v>89</v>
      </c>
      <c r="C35" s="41"/>
      <c r="D35" s="41"/>
      <c r="E35" s="42">
        <f>SUM(E26:E34)</f>
        <v>14.53</v>
      </c>
      <c r="F35" s="43">
        <f>SUM(F26:F34)</f>
        <v>261487.92000000004</v>
      </c>
      <c r="G35" s="44">
        <f>SUM(G26:G34)</f>
        <v>369204.73250000004</v>
      </c>
      <c r="H35" s="45">
        <f>SUM(H26:H34)</f>
        <v>-107716.81250000003</v>
      </c>
      <c r="I35" s="66"/>
    </row>
    <row r="36" spans="2:14">
      <c r="B36" s="5"/>
      <c r="C36" s="5"/>
      <c r="D36" s="5"/>
      <c r="E36" s="15"/>
      <c r="F36" s="15"/>
      <c r="G36" s="15"/>
      <c r="H36" s="3"/>
    </row>
    <row r="37" spans="2:14" ht="16.5" customHeight="1" thickBot="1">
      <c r="B37" s="240" t="s">
        <v>184</v>
      </c>
      <c r="C37" s="240"/>
      <c r="D37" s="240"/>
      <c r="E37" s="240"/>
      <c r="F37" s="240"/>
      <c r="G37" s="240"/>
      <c r="H37" s="240"/>
      <c r="I37" s="46"/>
      <c r="J37" s="46"/>
    </row>
    <row r="38" spans="2:14" ht="57" customHeight="1" thickBot="1">
      <c r="B38" s="187" t="s">
        <v>183</v>
      </c>
      <c r="C38" s="226" t="s">
        <v>101</v>
      </c>
      <c r="D38" s="227"/>
      <c r="E38" s="236" t="s">
        <v>9</v>
      </c>
      <c r="F38" s="237"/>
      <c r="G38" s="236" t="s">
        <v>10</v>
      </c>
      <c r="H38" s="243"/>
      <c r="I38" s="163"/>
      <c r="J38" s="164"/>
      <c r="K38" s="47"/>
      <c r="L38" s="48"/>
      <c r="M38" s="193"/>
      <c r="N38" s="193"/>
    </row>
    <row r="39" spans="2:14">
      <c r="B39" s="156" t="s">
        <v>11</v>
      </c>
      <c r="C39" s="228">
        <f>E39+G39</f>
        <v>2557495.33</v>
      </c>
      <c r="D39" s="229"/>
      <c r="E39" s="228">
        <f>F26+F27+F28+F29+F30+F31+F32+F34+E18</f>
        <v>1913303.9500000002</v>
      </c>
      <c r="F39" s="229"/>
      <c r="G39" s="228">
        <f>F33+G18</f>
        <v>644191.38000000012</v>
      </c>
      <c r="H39" s="244"/>
      <c r="I39" s="165"/>
      <c r="J39" s="166"/>
      <c r="K39" s="50"/>
      <c r="L39" s="50"/>
      <c r="M39" s="194"/>
    </row>
    <row r="40" spans="2:14">
      <c r="B40" s="157" t="s">
        <v>12</v>
      </c>
      <c r="C40" s="230">
        <f>E40+G40</f>
        <v>2526933.34</v>
      </c>
      <c r="D40" s="231"/>
      <c r="E40" s="230">
        <f>E19+228056.57</f>
        <v>1889736.5799999998</v>
      </c>
      <c r="F40" s="231"/>
      <c r="G40" s="230">
        <f>G19+81631.46</f>
        <v>637196.76</v>
      </c>
      <c r="H40" s="241"/>
      <c r="I40" s="165"/>
      <c r="J40" s="167"/>
      <c r="K40" s="52"/>
      <c r="L40" s="50"/>
      <c r="M40" s="194"/>
    </row>
    <row r="41" spans="2:14" ht="16.5" thickBot="1">
      <c r="B41" s="158" t="s">
        <v>88</v>
      </c>
      <c r="C41" s="232">
        <f>E41+G41</f>
        <v>2484756.8646</v>
      </c>
      <c r="D41" s="233"/>
      <c r="E41" s="232">
        <f>G26+G27+G28+G29+G30+G31+G32+G34+E20</f>
        <v>1926237.8646</v>
      </c>
      <c r="F41" s="233"/>
      <c r="G41" s="232">
        <f>G33+G20</f>
        <v>558519</v>
      </c>
      <c r="H41" s="242"/>
      <c r="I41" s="165"/>
      <c r="J41" s="49"/>
      <c r="K41" s="34"/>
      <c r="L41" s="34"/>
    </row>
    <row r="42" spans="2:14" ht="30.75" customHeight="1" thickBot="1">
      <c r="B42" s="159" t="s">
        <v>147</v>
      </c>
      <c r="C42" s="234">
        <f>E42+G42</f>
        <v>42176.475399999879</v>
      </c>
      <c r="D42" s="235"/>
      <c r="E42" s="245">
        <f>E40-E41</f>
        <v>-36501.28460000013</v>
      </c>
      <c r="F42" s="246"/>
      <c r="G42" s="245">
        <f>G40-G41</f>
        <v>78677.760000000009</v>
      </c>
      <c r="H42" s="247"/>
      <c r="I42" s="168"/>
      <c r="J42" s="153"/>
      <c r="K42" s="34"/>
      <c r="L42" s="34"/>
    </row>
    <row r="43" spans="2:14" ht="16.5" customHeight="1">
      <c r="B43" s="79"/>
      <c r="C43" s="151"/>
      <c r="D43" s="151"/>
      <c r="E43" s="153"/>
      <c r="F43" s="153"/>
      <c r="G43" s="153"/>
      <c r="H43" s="153"/>
      <c r="I43" s="53"/>
      <c r="J43" s="2"/>
      <c r="K43" s="2"/>
      <c r="L43" s="2"/>
      <c r="M43" s="192"/>
      <c r="N43" s="192"/>
    </row>
    <row r="44" spans="2:14" ht="13.5" customHeight="1">
      <c r="B44" s="53" t="s">
        <v>77</v>
      </c>
      <c r="C44" s="223" t="s">
        <v>150</v>
      </c>
      <c r="D44" s="223"/>
      <c r="E44" s="223"/>
      <c r="F44" s="249" t="s">
        <v>175</v>
      </c>
      <c r="G44" s="249"/>
      <c r="H44" s="53"/>
      <c r="I44" s="53"/>
      <c r="J44" s="2"/>
      <c r="K44" s="2"/>
      <c r="L44" s="2"/>
      <c r="M44" s="192"/>
      <c r="N44" s="192"/>
    </row>
    <row r="45" spans="2:14" ht="12" customHeight="1">
      <c r="B45" s="53"/>
      <c r="C45" s="54"/>
      <c r="D45" s="54"/>
      <c r="E45" s="222"/>
      <c r="F45" s="250"/>
      <c r="G45" s="250"/>
      <c r="H45" s="53"/>
      <c r="I45" s="53"/>
      <c r="J45" s="2"/>
      <c r="K45" s="2"/>
      <c r="L45" s="2"/>
      <c r="M45" s="192"/>
      <c r="N45" s="192"/>
    </row>
    <row r="46" spans="2:14" ht="12" customHeight="1">
      <c r="B46" s="53" t="s">
        <v>78</v>
      </c>
      <c r="C46" s="223" t="s">
        <v>150</v>
      </c>
      <c r="D46" s="223"/>
      <c r="E46" s="223"/>
      <c r="F46" s="249" t="s">
        <v>93</v>
      </c>
      <c r="G46" s="249"/>
      <c r="H46" s="53"/>
      <c r="I46" s="53"/>
    </row>
    <row r="47" spans="2:14" ht="9.75" customHeight="1">
      <c r="B47" s="53"/>
      <c r="C47" s="54"/>
      <c r="D47" s="54"/>
      <c r="E47" s="222"/>
      <c r="F47" s="249"/>
      <c r="G47" s="249"/>
      <c r="H47" s="53"/>
      <c r="I47" s="53"/>
    </row>
    <row r="48" spans="2:14" ht="15" customHeight="1">
      <c r="B48" s="53" t="s">
        <v>79</v>
      </c>
      <c r="C48" s="223" t="s">
        <v>151</v>
      </c>
      <c r="D48" s="223"/>
      <c r="E48" s="223"/>
      <c r="F48" s="249" t="s">
        <v>176</v>
      </c>
      <c r="G48" s="249"/>
      <c r="H48" s="53"/>
      <c r="I48" s="6"/>
    </row>
    <row r="49" spans="2:9" ht="9.75" customHeight="1">
      <c r="B49" s="55"/>
      <c r="C49" s="56"/>
      <c r="D49" s="56"/>
      <c r="E49" s="222"/>
      <c r="F49" s="203"/>
      <c r="G49" s="55"/>
      <c r="H49" s="57"/>
      <c r="I49" s="53"/>
    </row>
    <row r="50" spans="2:9" ht="15" customHeight="1">
      <c r="B50" s="53" t="s">
        <v>80</v>
      </c>
      <c r="C50" s="223" t="s">
        <v>151</v>
      </c>
      <c r="D50" s="223"/>
      <c r="E50" s="223"/>
      <c r="F50" s="249" t="s">
        <v>176</v>
      </c>
      <c r="G50" s="249"/>
      <c r="H50" s="53"/>
      <c r="I50" s="3"/>
    </row>
    <row r="51" spans="2:9">
      <c r="E51" s="210"/>
    </row>
  </sheetData>
  <mergeCells count="60">
    <mergeCell ref="B1:H1"/>
    <mergeCell ref="B5:H6"/>
    <mergeCell ref="G40:H40"/>
    <mergeCell ref="G41:H41"/>
    <mergeCell ref="G42:H42"/>
    <mergeCell ref="C24:C25"/>
    <mergeCell ref="D24:D25"/>
    <mergeCell ref="H24:H25"/>
    <mergeCell ref="B37:H37"/>
    <mergeCell ref="E24:E25"/>
    <mergeCell ref="F24:G24"/>
    <mergeCell ref="B2:H2"/>
    <mergeCell ref="B3:H3"/>
    <mergeCell ref="B4:H4"/>
    <mergeCell ref="E18:F18"/>
    <mergeCell ref="E40:F40"/>
    <mergeCell ref="F50:G50"/>
    <mergeCell ref="F47:G47"/>
    <mergeCell ref="E42:F42"/>
    <mergeCell ref="C44:E44"/>
    <mergeCell ref="C46:E46"/>
    <mergeCell ref="C48:E48"/>
    <mergeCell ref="F48:G48"/>
    <mergeCell ref="C50:E50"/>
    <mergeCell ref="F45:G45"/>
    <mergeCell ref="F46:G46"/>
    <mergeCell ref="F44:G44"/>
    <mergeCell ref="N5:R5"/>
    <mergeCell ref="E39:F39"/>
    <mergeCell ref="E41:F41"/>
    <mergeCell ref="G38:H38"/>
    <mergeCell ref="G39:H39"/>
    <mergeCell ref="P8:R8"/>
    <mergeCell ref="P15:Q15"/>
    <mergeCell ref="D8:E8"/>
    <mergeCell ref="B23:H23"/>
    <mergeCell ref="B24:B25"/>
    <mergeCell ref="E38:F38"/>
    <mergeCell ref="B16:H16"/>
    <mergeCell ref="C17:D17"/>
    <mergeCell ref="E17:F17"/>
    <mergeCell ref="G17:H17"/>
    <mergeCell ref="C18:D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M23:M24"/>
    <mergeCell ref="N23:N24"/>
    <mergeCell ref="C38:D38"/>
    <mergeCell ref="C39:D39"/>
    <mergeCell ref="C40:D40"/>
    <mergeCell ref="C41:D41"/>
    <mergeCell ref="C42:D42"/>
  </mergeCells>
  <printOptions horizontalCentered="1"/>
  <pageMargins left="0.22" right="0.2" top="0.15748031496062992" bottom="0.23622047244094491" header="0.16" footer="0.2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60</vt:lpstr>
      <vt:lpstr>62</vt:lpstr>
      <vt:lpstr>62а</vt:lpstr>
      <vt:lpstr>68</vt:lpstr>
      <vt:lpstr>68а</vt:lpstr>
      <vt:lpstr>70</vt:lpstr>
      <vt:lpstr>70а</vt:lpstr>
      <vt:lpstr>72</vt:lpstr>
      <vt:lpstr>72а</vt:lpstr>
      <vt:lpstr>80</vt:lpstr>
      <vt:lpstr>82</vt:lpstr>
      <vt:lpstr>84в</vt:lpstr>
      <vt:lpstr>86а</vt:lpstr>
      <vt:lpstr>88</vt:lpstr>
      <vt:lpstr>92</vt:lpstr>
      <vt:lpstr>92а</vt:lpstr>
      <vt:lpstr>94</vt:lpstr>
      <vt:lpstr>96</vt:lpstr>
      <vt:lpstr>96а</vt:lpstr>
      <vt:lpstr>98</vt:lpstr>
      <vt:lpstr>100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2023-02-16T11:03:48Z</dcterms:modified>
</cp:coreProperties>
</file>