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codeName="ЭтаКнига" defaultThemeVersion="124226"/>
  <bookViews>
    <workbookView xWindow="120" yWindow="105" windowWidth="15120" windowHeight="8010" activeTab="20"/>
  </bookViews>
  <sheets>
    <sheet name="60" sheetId="1" r:id="rId1"/>
    <sheet name="62" sheetId="2" r:id="rId2"/>
    <sheet name="62а" sheetId="3" r:id="rId3"/>
    <sheet name="68" sheetId="4" r:id="rId4"/>
    <sheet name="68а" sheetId="5" r:id="rId5"/>
    <sheet name="70" sheetId="6" r:id="rId6"/>
    <sheet name="70а" sheetId="7" r:id="rId7"/>
    <sheet name="72" sheetId="8" r:id="rId8"/>
    <sheet name="72а" sheetId="9" r:id="rId9"/>
    <sheet name="80" sheetId="11" r:id="rId10"/>
    <sheet name="82" sheetId="12" r:id="rId11"/>
    <sheet name="84в" sheetId="13" r:id="rId12"/>
    <sheet name="86а" sheetId="14" r:id="rId13"/>
    <sheet name="88" sheetId="15" r:id="rId14"/>
    <sheet name="92" sheetId="17" r:id="rId15"/>
    <sheet name="92а" sheetId="18" r:id="rId16"/>
    <sheet name="94" sheetId="19" r:id="rId17"/>
    <sheet name="96" sheetId="20" r:id="rId18"/>
    <sheet name="96а" sheetId="21" r:id="rId19"/>
    <sheet name="98" sheetId="22" r:id="rId20"/>
    <sheet name="100" sheetId="23" r:id="rId21"/>
  </sheets>
  <calcPr calcId="124519"/>
  <fileRecoveryPr autoRecover="0"/>
</workbook>
</file>

<file path=xl/calcChain.xml><?xml version="1.0" encoding="utf-8"?>
<calcChain xmlns="http://schemas.openxmlformats.org/spreadsheetml/2006/main">
  <c r="O28" i="23"/>
  <c r="O27" s="1"/>
  <c r="E40" s="1"/>
  <c r="M28"/>
  <c r="N28" s="1"/>
  <c r="N27" s="1"/>
  <c r="M27"/>
  <c r="F32" s="1"/>
  <c r="O26"/>
  <c r="N26"/>
  <c r="M26"/>
  <c r="O28" i="19"/>
  <c r="O27" s="1"/>
  <c r="E40" s="1"/>
  <c r="M28"/>
  <c r="M29" s="1"/>
  <c r="F33" s="1"/>
  <c r="O27" i="11"/>
  <c r="O25"/>
  <c r="E38" s="1"/>
  <c r="N25"/>
  <c r="G32" s="1"/>
  <c r="M27"/>
  <c r="F31" s="1"/>
  <c r="M25"/>
  <c r="F30" s="1"/>
  <c r="O29" i="4"/>
  <c r="O27"/>
  <c r="N27"/>
  <c r="M29"/>
  <c r="M27"/>
  <c r="O29" i="8"/>
  <c r="O27"/>
  <c r="N27"/>
  <c r="M29"/>
  <c r="M27"/>
  <c r="O29" i="18"/>
  <c r="O27"/>
  <c r="N27"/>
  <c r="M29"/>
  <c r="M27"/>
  <c r="M27" i="19"/>
  <c r="F32" s="1"/>
  <c r="O26"/>
  <c r="N26"/>
  <c r="M26"/>
  <c r="O28" i="18"/>
  <c r="M28"/>
  <c r="N28" s="1"/>
  <c r="O26"/>
  <c r="N26"/>
  <c r="M26"/>
  <c r="O28" i="8"/>
  <c r="M28"/>
  <c r="O26"/>
  <c r="N26"/>
  <c r="M26"/>
  <c r="O28" i="4"/>
  <c r="M28"/>
  <c r="N28" s="1"/>
  <c r="M26"/>
  <c r="O26"/>
  <c r="N26"/>
  <c r="G38" i="11"/>
  <c r="O24"/>
  <c r="N24"/>
  <c r="N26"/>
  <c r="M26"/>
  <c r="O29" i="23" l="1"/>
  <c r="G40" s="1"/>
  <c r="G26"/>
  <c r="G31"/>
  <c r="G29"/>
  <c r="G32"/>
  <c r="G30"/>
  <c r="G28"/>
  <c r="G34"/>
  <c r="G27"/>
  <c r="F27"/>
  <c r="F29"/>
  <c r="F31"/>
  <c r="F34"/>
  <c r="M29"/>
  <c r="F33" s="1"/>
  <c r="F26"/>
  <c r="F28"/>
  <c r="F30"/>
  <c r="O29" i="19"/>
  <c r="G40" s="1"/>
  <c r="N28"/>
  <c r="N27" s="1"/>
  <c r="F27"/>
  <c r="F29"/>
  <c r="F31"/>
  <c r="F34"/>
  <c r="F26"/>
  <c r="F28"/>
  <c r="F30"/>
  <c r="F24" i="11"/>
  <c r="F28"/>
  <c r="F25"/>
  <c r="F27"/>
  <c r="F32"/>
  <c r="F29"/>
  <c r="F26"/>
  <c r="E40" i="8"/>
  <c r="F33"/>
  <c r="G41" i="18"/>
  <c r="E41"/>
  <c r="F33"/>
  <c r="F34"/>
  <c r="F26"/>
  <c r="F30"/>
  <c r="F32"/>
  <c r="F35"/>
  <c r="F29"/>
  <c r="F31"/>
  <c r="G40" i="8"/>
  <c r="F32"/>
  <c r="N28"/>
  <c r="G40" i="4"/>
  <c r="E40"/>
  <c r="G32"/>
  <c r="G26"/>
  <c r="G34"/>
  <c r="G31"/>
  <c r="G29"/>
  <c r="G27"/>
  <c r="G30"/>
  <c r="G28"/>
  <c r="F33"/>
  <c r="G30" i="11"/>
  <c r="G28"/>
  <c r="G26"/>
  <c r="G24"/>
  <c r="G29"/>
  <c r="G27"/>
  <c r="G25"/>
  <c r="G31" i="19" l="1"/>
  <c r="G32"/>
  <c r="G30"/>
  <c r="G28"/>
  <c r="G26"/>
  <c r="G34"/>
  <c r="G29"/>
  <c r="G27"/>
  <c r="F27" i="18"/>
  <c r="F28"/>
  <c r="G34"/>
  <c r="G31"/>
  <c r="G29"/>
  <c r="G27"/>
  <c r="G35"/>
  <c r="G32"/>
  <c r="G30"/>
  <c r="G28"/>
  <c r="G26"/>
  <c r="G31" i="8"/>
  <c r="G27"/>
  <c r="G34"/>
  <c r="G32"/>
  <c r="G28"/>
  <c r="G29"/>
  <c r="G30"/>
  <c r="G26"/>
  <c r="F34"/>
  <c r="F27"/>
  <c r="F30"/>
  <c r="F31"/>
  <c r="F26"/>
  <c r="F28"/>
  <c r="F29"/>
  <c r="F34" i="4"/>
  <c r="F31"/>
  <c r="F29"/>
  <c r="F27"/>
  <c r="F28"/>
  <c r="F32"/>
  <c r="F30"/>
  <c r="F26"/>
  <c r="G40" i="22"/>
  <c r="E40"/>
  <c r="G40" i="21"/>
  <c r="E40"/>
  <c r="G41" i="20"/>
  <c r="G40"/>
  <c r="E40"/>
  <c r="G40" i="17"/>
  <c r="E40"/>
  <c r="G40" i="15"/>
  <c r="E40"/>
  <c r="G40" i="14" l="1"/>
  <c r="E40"/>
  <c r="G41" i="13"/>
  <c r="E41"/>
  <c r="G40" i="12"/>
  <c r="E40"/>
  <c r="G40" i="9"/>
  <c r="E40"/>
  <c r="G40" i="7"/>
  <c r="E40"/>
  <c r="G40" i="6"/>
  <c r="E40" l="1"/>
  <c r="G40" i="5"/>
  <c r="E40"/>
  <c r="F34"/>
  <c r="G41" i="3"/>
  <c r="E41"/>
  <c r="G40" i="2"/>
  <c r="E40"/>
  <c r="G41" i="1"/>
  <c r="E41"/>
  <c r="N25"/>
  <c r="G41" i="7" l="1"/>
  <c r="G40" i="13" l="1"/>
  <c r="F34" i="15" l="1"/>
  <c r="F34" i="7"/>
  <c r="C40" i="6" l="1"/>
  <c r="N25" i="23" l="1"/>
  <c r="N25" i="22"/>
  <c r="N25" i="21"/>
  <c r="O25" i="20"/>
  <c r="N25" i="19"/>
  <c r="N25" i="18"/>
  <c r="N25" i="17"/>
  <c r="N25" i="15"/>
  <c r="N25" i="14"/>
  <c r="N25" i="13"/>
  <c r="N25" i="12" l="1"/>
  <c r="N23" i="11" l="1"/>
  <c r="N25" i="9"/>
  <c r="N25" i="8"/>
  <c r="N25" i="7"/>
  <c r="N25" i="6"/>
  <c r="N25" i="5"/>
  <c r="N25" i="4"/>
  <c r="N25" i="3"/>
  <c r="N25" i="2"/>
  <c r="G40" i="1" l="1"/>
  <c r="G42" i="18" l="1"/>
  <c r="N26" i="14" l="1"/>
  <c r="M26"/>
  <c r="G34" i="3" l="1"/>
  <c r="H33" i="4" l="1"/>
  <c r="H30" i="1"/>
  <c r="C21" i="20" l="1"/>
  <c r="G41" i="5" l="1"/>
  <c r="G39" i="15" l="1"/>
  <c r="G41"/>
  <c r="C40" l="1"/>
  <c r="G40" i="18" l="1"/>
  <c r="G42" i="13"/>
  <c r="G42" i="3"/>
  <c r="G43" s="1"/>
  <c r="G40"/>
  <c r="G21" l="1"/>
  <c r="E21"/>
  <c r="C41"/>
  <c r="C21" l="1"/>
  <c r="G37" i="11"/>
  <c r="G39"/>
  <c r="G40" s="1"/>
  <c r="G19"/>
  <c r="E19"/>
  <c r="C19" l="1"/>
  <c r="C38"/>
  <c r="G41" i="17" l="1"/>
  <c r="G41" i="14"/>
  <c r="G39"/>
  <c r="G41" i="12"/>
  <c r="G39"/>
  <c r="G41" i="8"/>
  <c r="G39" i="7"/>
  <c r="G41" i="6"/>
  <c r="G39"/>
  <c r="G39" i="5"/>
  <c r="G41" i="4"/>
  <c r="G42" s="1"/>
  <c r="G39"/>
  <c r="G41" i="2"/>
  <c r="G39"/>
  <c r="G42" i="1"/>
  <c r="G43" l="1"/>
  <c r="G39" i="8" l="1"/>
  <c r="E21" i="1" l="1"/>
  <c r="C21"/>
  <c r="G39" i="20"/>
  <c r="G21"/>
  <c r="E21"/>
  <c r="G41" i="23"/>
  <c r="G42" s="1"/>
  <c r="G39"/>
  <c r="G21"/>
  <c r="E21"/>
  <c r="G41" i="22"/>
  <c r="G42" s="1"/>
  <c r="G39"/>
  <c r="G21"/>
  <c r="E21"/>
  <c r="G41" i="21"/>
  <c r="G42" s="1"/>
  <c r="G39"/>
  <c r="G21"/>
  <c r="E21"/>
  <c r="G41" i="19"/>
  <c r="G42" s="1"/>
  <c r="G39"/>
  <c r="G21"/>
  <c r="E21"/>
  <c r="G21" i="18"/>
  <c r="E21"/>
  <c r="G42" i="17"/>
  <c r="G39"/>
  <c r="G21"/>
  <c r="E21"/>
  <c r="G42" i="15"/>
  <c r="G21"/>
  <c r="E21"/>
  <c r="G21" i="14"/>
  <c r="E21"/>
  <c r="G21" i="13"/>
  <c r="E21"/>
  <c r="G42" i="12"/>
  <c r="G21"/>
  <c r="E21"/>
  <c r="G41" i="9"/>
  <c r="G42" s="1"/>
  <c r="G39"/>
  <c r="G21"/>
  <c r="E21"/>
  <c r="G42" i="8"/>
  <c r="G21"/>
  <c r="E21"/>
  <c r="C40" i="7"/>
  <c r="G21"/>
  <c r="E21"/>
  <c r="G42" i="6"/>
  <c r="G21"/>
  <c r="E21"/>
  <c r="G21" i="5"/>
  <c r="E21"/>
  <c r="G21" i="4"/>
  <c r="E21"/>
  <c r="C40" i="2"/>
  <c r="G21"/>
  <c r="E21"/>
  <c r="G21" i="1"/>
  <c r="C41"/>
  <c r="C21" i="15" l="1"/>
  <c r="C21" i="13"/>
  <c r="C21" i="22"/>
  <c r="C21" i="8"/>
  <c r="C21" i="7"/>
  <c r="C21" i="6"/>
  <c r="C21" i="23"/>
  <c r="C40" i="22"/>
  <c r="C21" i="21"/>
  <c r="C40"/>
  <c r="C21" i="19"/>
  <c r="C40"/>
  <c r="C21" i="18"/>
  <c r="G43"/>
  <c r="C21" i="17"/>
  <c r="C40"/>
  <c r="C40" i="14"/>
  <c r="C21"/>
  <c r="G43" i="13"/>
  <c r="C21" i="12"/>
  <c r="C40"/>
  <c r="C21" i="9"/>
  <c r="C40"/>
  <c r="G42" i="7"/>
  <c r="G42" i="5"/>
  <c r="C21"/>
  <c r="C40"/>
  <c r="C21" i="4"/>
  <c r="G42" i="2"/>
  <c r="C21"/>
  <c r="G42" i="20"/>
  <c r="C40"/>
  <c r="G42" i="14"/>
  <c r="C41" i="13"/>
  <c r="H33" i="23" l="1"/>
  <c r="H33" i="22"/>
  <c r="H33" i="21"/>
  <c r="H33" i="20"/>
  <c r="H33" i="19" l="1"/>
  <c r="H33" i="18"/>
  <c r="H33" i="17"/>
  <c r="H33" i="15"/>
  <c r="H33" i="14" l="1"/>
  <c r="H33" i="13" l="1"/>
  <c r="H33" i="12"/>
  <c r="H31" i="11"/>
  <c r="H33" i="9"/>
  <c r="H33" i="7"/>
  <c r="H33" i="6"/>
  <c r="H33" i="5"/>
  <c r="H33" i="3" l="1"/>
  <c r="H33" i="2"/>
  <c r="H34" i="1"/>
  <c r="E36" l="1"/>
  <c r="N26" l="1"/>
  <c r="M26"/>
  <c r="F33" s="1"/>
  <c r="F27"/>
  <c r="F32" l="1"/>
  <c r="F26"/>
  <c r="F31"/>
  <c r="F29"/>
  <c r="F35"/>
  <c r="F28"/>
  <c r="G32"/>
  <c r="G28"/>
  <c r="G26"/>
  <c r="G35"/>
  <c r="G33"/>
  <c r="G31"/>
  <c r="G29"/>
  <c r="G27"/>
  <c r="E35" i="23"/>
  <c r="E35" i="22"/>
  <c r="E40" i="1" l="1"/>
  <c r="C40" s="1"/>
  <c r="M26" i="22"/>
  <c r="N26"/>
  <c r="E42" i="1"/>
  <c r="C42" s="1"/>
  <c r="G36"/>
  <c r="H26"/>
  <c r="C40" i="23" l="1"/>
  <c r="E43" i="1"/>
  <c r="C43" s="1"/>
  <c r="G34" i="22"/>
  <c r="G32"/>
  <c r="G31"/>
  <c r="G30"/>
  <c r="G29"/>
  <c r="G28"/>
  <c r="G27"/>
  <c r="G26"/>
  <c r="F32"/>
  <c r="F30"/>
  <c r="F28"/>
  <c r="F26"/>
  <c r="F34"/>
  <c r="H34" s="1"/>
  <c r="F31"/>
  <c r="F29"/>
  <c r="F27"/>
  <c r="E41" i="23" l="1"/>
  <c r="E42" s="1"/>
  <c r="C42" s="1"/>
  <c r="E39"/>
  <c r="C39" s="1"/>
  <c r="E41" i="22"/>
  <c r="C41" s="1"/>
  <c r="E39"/>
  <c r="C39" s="1"/>
  <c r="H32"/>
  <c r="H27"/>
  <c r="H31"/>
  <c r="H30"/>
  <c r="H28"/>
  <c r="H29"/>
  <c r="F35" i="23"/>
  <c r="H28"/>
  <c r="H32"/>
  <c r="H27"/>
  <c r="H31"/>
  <c r="H26"/>
  <c r="G35"/>
  <c r="H30"/>
  <c r="H34"/>
  <c r="H29"/>
  <c r="H26" i="22"/>
  <c r="F35"/>
  <c r="G35"/>
  <c r="E35" i="21"/>
  <c r="E35" i="20"/>
  <c r="E35" i="19"/>
  <c r="E36" i="18"/>
  <c r="E35" i="17"/>
  <c r="E35" i="15"/>
  <c r="E35" i="14"/>
  <c r="E36" i="13"/>
  <c r="E35" i="12"/>
  <c r="E33" i="11"/>
  <c r="E35" i="9"/>
  <c r="E35" i="8"/>
  <c r="E35" i="7"/>
  <c r="E35" i="6"/>
  <c r="E35" i="5"/>
  <c r="E35" i="4"/>
  <c r="N26" i="5" l="1"/>
  <c r="M26"/>
  <c r="N26" i="21"/>
  <c r="M26"/>
  <c r="M26" i="17"/>
  <c r="N26"/>
  <c r="M26" i="15"/>
  <c r="N26"/>
  <c r="N26" i="12"/>
  <c r="M26"/>
  <c r="M26" i="9"/>
  <c r="N26"/>
  <c r="N26" i="6"/>
  <c r="M26"/>
  <c r="O26" i="20"/>
  <c r="N26"/>
  <c r="F34" s="1"/>
  <c r="N26" i="13"/>
  <c r="G34" s="1"/>
  <c r="M26"/>
  <c r="M24" i="11"/>
  <c r="N26" i="7"/>
  <c r="G29" s="1"/>
  <c r="M26"/>
  <c r="F29" s="1"/>
  <c r="E42" i="22"/>
  <c r="C42" s="1"/>
  <c r="H35" i="23"/>
  <c r="C41"/>
  <c r="H35" i="22"/>
  <c r="F32" i="17"/>
  <c r="F30"/>
  <c r="F34"/>
  <c r="F31"/>
  <c r="F29"/>
  <c r="F27"/>
  <c r="F28"/>
  <c r="F26"/>
  <c r="G34" i="7"/>
  <c r="E36" i="3"/>
  <c r="M26" s="1"/>
  <c r="E35" i="2"/>
  <c r="F35" i="17" l="1"/>
  <c r="C41" i="18"/>
  <c r="H34"/>
  <c r="N26" i="2"/>
  <c r="M26"/>
  <c r="F32" s="1"/>
  <c r="C40" i="4"/>
  <c r="H29" i="7"/>
  <c r="C40" i="8"/>
  <c r="E39" i="17"/>
  <c r="C39" s="1"/>
  <c r="H26" i="11"/>
  <c r="H32"/>
  <c r="F34" i="21"/>
  <c r="F32"/>
  <c r="F31"/>
  <c r="F30"/>
  <c r="F29"/>
  <c r="G34"/>
  <c r="G32"/>
  <c r="G31"/>
  <c r="G30"/>
  <c r="G29"/>
  <c r="F31" i="20"/>
  <c r="F29"/>
  <c r="F27"/>
  <c r="F32"/>
  <c r="F30"/>
  <c r="F28"/>
  <c r="H28" s="1"/>
  <c r="F26"/>
  <c r="G32"/>
  <c r="G34"/>
  <c r="G31"/>
  <c r="G30"/>
  <c r="G29"/>
  <c r="G28"/>
  <c r="G27"/>
  <c r="G26"/>
  <c r="G26" i="21"/>
  <c r="G28"/>
  <c r="G27"/>
  <c r="H27" s="1"/>
  <c r="F26"/>
  <c r="F28"/>
  <c r="F27"/>
  <c r="H32" i="19"/>
  <c r="H30"/>
  <c r="H31"/>
  <c r="H29"/>
  <c r="G34" i="17"/>
  <c r="G32"/>
  <c r="G31"/>
  <c r="G30"/>
  <c r="G29"/>
  <c r="G28"/>
  <c r="G27"/>
  <c r="G26"/>
  <c r="G34" i="15"/>
  <c r="G32"/>
  <c r="G31"/>
  <c r="G30"/>
  <c r="G29"/>
  <c r="F32"/>
  <c r="F30"/>
  <c r="H30" s="1"/>
  <c r="F31"/>
  <c r="F29"/>
  <c r="F27"/>
  <c r="F28"/>
  <c r="H28" s="1"/>
  <c r="F26"/>
  <c r="G28"/>
  <c r="G27"/>
  <c r="G26"/>
  <c r="G34" i="14"/>
  <c r="G32"/>
  <c r="G31"/>
  <c r="G30"/>
  <c r="G29"/>
  <c r="G28"/>
  <c r="G27"/>
  <c r="G26"/>
  <c r="F32"/>
  <c r="F30"/>
  <c r="F28"/>
  <c r="F26"/>
  <c r="F34"/>
  <c r="F31"/>
  <c r="F29"/>
  <c r="F27"/>
  <c r="G32" i="13"/>
  <c r="G30"/>
  <c r="G28"/>
  <c r="G26"/>
  <c r="G31"/>
  <c r="G27"/>
  <c r="G35"/>
  <c r="G29"/>
  <c r="F35"/>
  <c r="F31"/>
  <c r="F29"/>
  <c r="F27"/>
  <c r="F30"/>
  <c r="F28"/>
  <c r="F34"/>
  <c r="H34" s="1"/>
  <c r="F32"/>
  <c r="F26"/>
  <c r="F34" i="12"/>
  <c r="F32"/>
  <c r="F31"/>
  <c r="F30"/>
  <c r="F29"/>
  <c r="F28"/>
  <c r="F27"/>
  <c r="F26"/>
  <c r="G34"/>
  <c r="G32"/>
  <c r="G31"/>
  <c r="G30"/>
  <c r="G29"/>
  <c r="G28"/>
  <c r="G27"/>
  <c r="G26"/>
  <c r="F26" i="9"/>
  <c r="F32"/>
  <c r="F30"/>
  <c r="H30" s="1"/>
  <c r="F28"/>
  <c r="F34"/>
  <c r="F31"/>
  <c r="F29"/>
  <c r="F27"/>
  <c r="G26"/>
  <c r="G34"/>
  <c r="G32"/>
  <c r="G31"/>
  <c r="G30"/>
  <c r="G29"/>
  <c r="G28"/>
  <c r="H28" s="1"/>
  <c r="G27"/>
  <c r="H32" i="8"/>
  <c r="H30"/>
  <c r="H27"/>
  <c r="F32" i="7"/>
  <c r="F30"/>
  <c r="F28"/>
  <c r="F26"/>
  <c r="F27"/>
  <c r="F31"/>
  <c r="G32"/>
  <c r="G31"/>
  <c r="G30"/>
  <c r="G28"/>
  <c r="G27"/>
  <c r="G26"/>
  <c r="F26" i="6"/>
  <c r="F32"/>
  <c r="F30"/>
  <c r="F28"/>
  <c r="F31"/>
  <c r="F29"/>
  <c r="F27"/>
  <c r="F34"/>
  <c r="G26"/>
  <c r="G34"/>
  <c r="H34" s="1"/>
  <c r="G32"/>
  <c r="G31"/>
  <c r="G30"/>
  <c r="G29"/>
  <c r="G28"/>
  <c r="H28" s="1"/>
  <c r="G27"/>
  <c r="F32" i="5"/>
  <c r="F30"/>
  <c r="F28"/>
  <c r="F26"/>
  <c r="F29"/>
  <c r="F27"/>
  <c r="F31"/>
  <c r="G34"/>
  <c r="G32"/>
  <c r="G31"/>
  <c r="G30"/>
  <c r="G29"/>
  <c r="G28"/>
  <c r="G27"/>
  <c r="G26"/>
  <c r="H34" i="4"/>
  <c r="H33" i="8"/>
  <c r="H31" i="21"/>
  <c r="H28"/>
  <c r="H28" i="19"/>
  <c r="H34"/>
  <c r="H34" i="17"/>
  <c r="H32"/>
  <c r="H31"/>
  <c r="H30"/>
  <c r="H29"/>
  <c r="H28"/>
  <c r="H27"/>
  <c r="H32" i="15"/>
  <c r="H30" i="11"/>
  <c r="H27"/>
  <c r="H28"/>
  <c r="H24"/>
  <c r="H34" i="5"/>
  <c r="H25" i="11" l="1"/>
  <c r="H32" i="21"/>
  <c r="H32" i="20"/>
  <c r="H27"/>
  <c r="H29"/>
  <c r="H30" i="4"/>
  <c r="H30" i="21"/>
  <c r="F27" i="2"/>
  <c r="F31"/>
  <c r="F26"/>
  <c r="F30"/>
  <c r="F29"/>
  <c r="F34"/>
  <c r="F28"/>
  <c r="H29" i="21"/>
  <c r="H31" i="15"/>
  <c r="H27"/>
  <c r="F35" i="14"/>
  <c r="H31" i="8"/>
  <c r="G33" i="11"/>
  <c r="H29"/>
  <c r="H33" s="1"/>
  <c r="H32" i="9"/>
  <c r="H31" i="6"/>
  <c r="H28" i="4"/>
  <c r="H32"/>
  <c r="E39" i="12"/>
  <c r="C39" s="1"/>
  <c r="H32" i="6"/>
  <c r="E40" i="18"/>
  <c r="C40" s="1"/>
  <c r="E42"/>
  <c r="E43" s="1"/>
  <c r="C43" s="1"/>
  <c r="E41" i="17"/>
  <c r="C41" s="1"/>
  <c r="G35"/>
  <c r="E39" i="21"/>
  <c r="C39" s="1"/>
  <c r="H35" i="18"/>
  <c r="E41" i="5"/>
  <c r="E42" s="1"/>
  <c r="C42" s="1"/>
  <c r="E39"/>
  <c r="C39" s="1"/>
  <c r="H30"/>
  <c r="H30" i="20"/>
  <c r="H31"/>
  <c r="E42" i="13"/>
  <c r="E41" i="21"/>
  <c r="E41" i="20"/>
  <c r="C41" s="1"/>
  <c r="C42" s="1"/>
  <c r="E39"/>
  <c r="C39" s="1"/>
  <c r="H34"/>
  <c r="E41" i="19"/>
  <c r="H27"/>
  <c r="E39"/>
  <c r="C39" s="1"/>
  <c r="E41" i="15"/>
  <c r="H26"/>
  <c r="E39"/>
  <c r="C39" s="1"/>
  <c r="H29"/>
  <c r="H34"/>
  <c r="E41" i="14"/>
  <c r="C41" s="1"/>
  <c r="E39"/>
  <c r="C39" s="1"/>
  <c r="E40" i="13"/>
  <c r="C40" s="1"/>
  <c r="E41" i="12"/>
  <c r="E39" i="11"/>
  <c r="C39" s="1"/>
  <c r="E37"/>
  <c r="C37" s="1"/>
  <c r="E41" i="9"/>
  <c r="H29"/>
  <c r="E39"/>
  <c r="C39" s="1"/>
  <c r="E41" i="8"/>
  <c r="E39"/>
  <c r="C39" s="1"/>
  <c r="H28"/>
  <c r="E41" i="7"/>
  <c r="E39"/>
  <c r="C39" s="1"/>
  <c r="H29" i="6"/>
  <c r="E41"/>
  <c r="C41" s="1"/>
  <c r="E39"/>
  <c r="C39" s="1"/>
  <c r="H30"/>
  <c r="H27" i="5"/>
  <c r="H31"/>
  <c r="H29"/>
  <c r="E41" i="4"/>
  <c r="E42" s="1"/>
  <c r="C42" s="1"/>
  <c r="E39"/>
  <c r="C39" s="1"/>
  <c r="H31"/>
  <c r="H27"/>
  <c r="F35" i="3"/>
  <c r="F31"/>
  <c r="F29"/>
  <c r="F27"/>
  <c r="F34"/>
  <c r="H34" s="1"/>
  <c r="F30"/>
  <c r="F32"/>
  <c r="F28"/>
  <c r="G26"/>
  <c r="G35"/>
  <c r="G31"/>
  <c r="G29"/>
  <c r="G30"/>
  <c r="G32"/>
  <c r="G28"/>
  <c r="G27"/>
  <c r="H29" i="4"/>
  <c r="G36" i="13"/>
  <c r="F26" i="3"/>
  <c r="G35" i="21"/>
  <c r="G26" i="2"/>
  <c r="G27"/>
  <c r="G34"/>
  <c r="G32"/>
  <c r="G31"/>
  <c r="G30"/>
  <c r="G29"/>
  <c r="G28"/>
  <c r="C41" i="15"/>
  <c r="F36" i="13"/>
  <c r="E42" i="12"/>
  <c r="C42" s="1"/>
  <c r="H34" i="9"/>
  <c r="G35"/>
  <c r="G35" i="8"/>
  <c r="H28" i="5"/>
  <c r="H32"/>
  <c r="H27" i="9"/>
  <c r="H31"/>
  <c r="H29" i="8"/>
  <c r="H34"/>
  <c r="G35" i="6"/>
  <c r="H26" i="4"/>
  <c r="F35"/>
  <c r="G35"/>
  <c r="H26" i="21"/>
  <c r="F35"/>
  <c r="H34"/>
  <c r="H26" i="20"/>
  <c r="F35"/>
  <c r="G35"/>
  <c r="H26" i="19"/>
  <c r="F35"/>
  <c r="G35"/>
  <c r="G36" i="18"/>
  <c r="H26"/>
  <c r="F36"/>
  <c r="H28"/>
  <c r="H30"/>
  <c r="H32"/>
  <c r="H27"/>
  <c r="H29"/>
  <c r="H31"/>
  <c r="H26" i="17"/>
  <c r="H35" s="1"/>
  <c r="F35" i="15"/>
  <c r="G35"/>
  <c r="H27" i="14"/>
  <c r="H29"/>
  <c r="H31"/>
  <c r="H32"/>
  <c r="H26"/>
  <c r="H28"/>
  <c r="H30"/>
  <c r="H34"/>
  <c r="G35"/>
  <c r="H26" i="13"/>
  <c r="H28"/>
  <c r="H30"/>
  <c r="H32"/>
  <c r="H27"/>
  <c r="H29"/>
  <c r="H31"/>
  <c r="H35"/>
  <c r="H26" i="12"/>
  <c r="H28"/>
  <c r="H30"/>
  <c r="H34"/>
  <c r="H32"/>
  <c r="H27"/>
  <c r="H29"/>
  <c r="H31"/>
  <c r="F35"/>
  <c r="G35"/>
  <c r="F33" i="11"/>
  <c r="H26" i="9"/>
  <c r="F35"/>
  <c r="H26" i="8"/>
  <c r="F35"/>
  <c r="H26" i="7"/>
  <c r="H28"/>
  <c r="H30"/>
  <c r="H34"/>
  <c r="H32"/>
  <c r="H27"/>
  <c r="H31"/>
  <c r="F35"/>
  <c r="G35"/>
  <c r="H27" i="6"/>
  <c r="H26"/>
  <c r="F35"/>
  <c r="F35" i="5"/>
  <c r="H26"/>
  <c r="G35"/>
  <c r="H27" i="3"/>
  <c r="H30" i="2" l="1"/>
  <c r="H34"/>
  <c r="H28"/>
  <c r="H35" i="5"/>
  <c r="H31" i="3"/>
  <c r="H30"/>
  <c r="E39" i="2"/>
  <c r="C39" s="1"/>
  <c r="H27"/>
  <c r="H29"/>
  <c r="H35" i="19"/>
  <c r="H35" i="15"/>
  <c r="C42" i="18"/>
  <c r="E40" i="11"/>
  <c r="C40" s="1"/>
  <c r="H28" i="3"/>
  <c r="H29"/>
  <c r="H36" i="18"/>
  <c r="H35" i="20"/>
  <c r="E42" i="17"/>
  <c r="C42" s="1"/>
  <c r="H35" i="8"/>
  <c r="C41" i="5"/>
  <c r="H35" i="4"/>
  <c r="C41"/>
  <c r="E42" i="3"/>
  <c r="E40"/>
  <c r="C40" s="1"/>
  <c r="H32"/>
  <c r="H35"/>
  <c r="E41" i="2"/>
  <c r="F36" i="3"/>
  <c r="H35" i="9"/>
  <c r="G36" i="3"/>
  <c r="H35" i="21"/>
  <c r="E42" i="15"/>
  <c r="C42" s="1"/>
  <c r="H35" i="7"/>
  <c r="E42" i="14"/>
  <c r="C42" s="1"/>
  <c r="C41" i="12"/>
  <c r="E42" i="21"/>
  <c r="C42" s="1"/>
  <c r="C41"/>
  <c r="E42" i="19"/>
  <c r="C42" s="1"/>
  <c r="C41"/>
  <c r="E43" i="13"/>
  <c r="C43" s="1"/>
  <c r="C42"/>
  <c r="C41" i="9"/>
  <c r="E42"/>
  <c r="C42" s="1"/>
  <c r="E42" i="8"/>
  <c r="C42" s="1"/>
  <c r="C41"/>
  <c r="E42" i="6"/>
  <c r="C42" s="1"/>
  <c r="E42" i="20"/>
  <c r="C41" i="7"/>
  <c r="E42"/>
  <c r="C42" s="1"/>
  <c r="H35" i="6"/>
  <c r="H32" i="2"/>
  <c r="H31"/>
  <c r="G35"/>
  <c r="H26"/>
  <c r="F35"/>
  <c r="H35" i="14"/>
  <c r="H36" i="13"/>
  <c r="H35" i="12"/>
  <c r="H26" i="3"/>
  <c r="H36" l="1"/>
  <c r="E43"/>
  <c r="C43" s="1"/>
  <c r="C42"/>
  <c r="E42" i="2"/>
  <c r="C42" s="1"/>
  <c r="C41"/>
  <c r="H35"/>
  <c r="H27" i="1" l="1"/>
  <c r="H35"/>
  <c r="H28" l="1"/>
  <c r="H33"/>
  <c r="H31"/>
  <c r="H29"/>
  <c r="F36" l="1"/>
  <c r="H32" l="1"/>
  <c r="H36" s="1"/>
</calcChain>
</file>

<file path=xl/sharedStrings.xml><?xml version="1.0" encoding="utf-8"?>
<sst xmlns="http://schemas.openxmlformats.org/spreadsheetml/2006/main" count="1856" uniqueCount="185">
  <si>
    <t>• Адрес МКД</t>
  </si>
  <si>
    <t>• Год постройки</t>
  </si>
  <si>
    <t>• Этажность</t>
  </si>
  <si>
    <t>• Количество квартир</t>
  </si>
  <si>
    <t>• Общая площадь дома с учетом помещений
общего пользования</t>
  </si>
  <si>
    <t>• Общая площадь жилых помещений</t>
  </si>
  <si>
    <t>• Общая площадь нежилых помещений</t>
  </si>
  <si>
    <t>0 кв. м.</t>
  </si>
  <si>
    <t>• Площадь придомовой территории,
входящей в состав общего имущества МКД</t>
  </si>
  <si>
    <t>Содержание общего
имущества МКД (руб.)</t>
  </si>
  <si>
    <t>Текущий ремонт 
общего имущества 
МКД (руб.)</t>
  </si>
  <si>
    <t>1. Начислено</t>
  </si>
  <si>
    <t>2. Оплачено</t>
  </si>
  <si>
    <t>Харьковская 60</t>
  </si>
  <si>
    <t>2767,8 кв. м.</t>
  </si>
  <si>
    <t>352 кв. м. - асфальт</t>
  </si>
  <si>
    <t>Харьковская 62</t>
  </si>
  <si>
    <t>2769,5 кв. м.</t>
  </si>
  <si>
    <t>3684,1 кв. м. - грунт;
1193,7 кв. м. - асфальт</t>
  </si>
  <si>
    <t>Харьковская 62а</t>
  </si>
  <si>
    <t>3415,9 кв. м.</t>
  </si>
  <si>
    <t>Харьковская 68</t>
  </si>
  <si>
    <t>2112,3 кв. м.</t>
  </si>
  <si>
    <t>43,9 кв. м.</t>
  </si>
  <si>
    <t>1742,3 кв. м. - грунт;
281 кв. м. - асфальт</t>
  </si>
  <si>
    <t>Харьковская 68а</t>
  </si>
  <si>
    <t>2122,2 кв. м.</t>
  </si>
  <si>
    <t>1870,8 кв. м. - грунт;
281 кв. м. - асфальт</t>
  </si>
  <si>
    <t>Харьковская 70</t>
  </si>
  <si>
    <t>1576,1 кв. м.</t>
  </si>
  <si>
    <t>Харьковская 70а</t>
  </si>
  <si>
    <t>1571,9 кв. м.</t>
  </si>
  <si>
    <t>2403 кв. м. - грунт;
210 кв. м. - асфальт</t>
  </si>
  <si>
    <t>Харьковская 72</t>
  </si>
  <si>
    <t>2705,4 кв. м.</t>
  </si>
  <si>
    <t>170,3 кв. м.</t>
  </si>
  <si>
    <t>Харьковская 72а</t>
  </si>
  <si>
    <t>1589,3 кв. м.</t>
  </si>
  <si>
    <t>1869,8 кв. м. - грунт;
210 кв. м. - асфальт</t>
  </si>
  <si>
    <t>Харьковская 80</t>
  </si>
  <si>
    <t>1570,79 кв. м.</t>
  </si>
  <si>
    <t>89 кв. м.</t>
  </si>
  <si>
    <t>3237,6 кв. м. - грунт;
210 кв. м. - асфальт</t>
  </si>
  <si>
    <t>Харьковская 82</t>
  </si>
  <si>
    <t>2742,8 кв. м.</t>
  </si>
  <si>
    <t>5145 кв. м. - грунт;
352 кв. м. - асфальт</t>
  </si>
  <si>
    <t>Харьковская 84в</t>
  </si>
  <si>
    <t>2041 кв. м.</t>
  </si>
  <si>
    <t>Харьковская 86а</t>
  </si>
  <si>
    <t>2219,1 кв. м.</t>
  </si>
  <si>
    <t>2057,9 кв. м. - грунт;
454,2 кв. м. - асфальт</t>
  </si>
  <si>
    <t>Харьковская 88</t>
  </si>
  <si>
    <t>2134 кв. м.</t>
  </si>
  <si>
    <t>2122 кв. м. - грунт;
281 кв. м. - асфальт</t>
  </si>
  <si>
    <t>Харьковская 92</t>
  </si>
  <si>
    <t>1581,2 кв. м.</t>
  </si>
  <si>
    <t>2602,5 кв. м. - грунт;
342,9 кв. м. - асфальт</t>
  </si>
  <si>
    <t>Харьковская 92а</t>
  </si>
  <si>
    <t>1559 кв. м.</t>
  </si>
  <si>
    <t>55,4 кв. м.</t>
  </si>
  <si>
    <t>2053,3 кв. м. - грунт;
210 кв. м. - асфальт</t>
  </si>
  <si>
    <t>Харьковская 94</t>
  </si>
  <si>
    <t>1618,9 кв. м.</t>
  </si>
  <si>
    <t>2096,7 кв. м. - грунт;
277,3 кв. м. - асфальт</t>
  </si>
  <si>
    <t>Харьковская 96</t>
  </si>
  <si>
    <t>2742,1 кв. м.</t>
  </si>
  <si>
    <t xml:space="preserve"> кв. м.</t>
  </si>
  <si>
    <t xml:space="preserve"> кв. м. - грунт;кв. м. - асфальт</t>
  </si>
  <si>
    <t>Харьковская 96а</t>
  </si>
  <si>
    <t>1568,3 кв. м.</t>
  </si>
  <si>
    <t xml:space="preserve"> 0 кв. м.</t>
  </si>
  <si>
    <t>2525 кв. м. - грунт;
287,1 кв. м. - асфальт</t>
  </si>
  <si>
    <t>Харьковская 98</t>
  </si>
  <si>
    <t>2821,6 кв. м.</t>
  </si>
  <si>
    <t>Харьковская 100</t>
  </si>
  <si>
    <t>2706,9 кв. м.</t>
  </si>
  <si>
    <t>4323 кв. м. - грунт;
352 кв. м. - асфальт</t>
  </si>
  <si>
    <t>Директор ООО "Партнер-1"</t>
  </si>
  <si>
    <t>Главный бухгалтер ООО "Партнер-1"</t>
  </si>
  <si>
    <t>Экономист ООО "Партнер-1"</t>
  </si>
  <si>
    <t>Инженер по ремонту ООО "Партнер-1"</t>
  </si>
  <si>
    <t>Плановые затраты (руб.)</t>
  </si>
  <si>
    <t>Фактические затраты (руб.)</t>
  </si>
  <si>
    <t>Транспортные расходы при санитарной очистке территорий</t>
  </si>
  <si>
    <t>Техническое обслуживание внутридомового газового 
оборудования</t>
  </si>
  <si>
    <t>Рентабельность</t>
  </si>
  <si>
    <r>
      <rPr>
        <b/>
        <sz val="10"/>
        <color theme="1"/>
        <rFont val="Times New Roman"/>
        <family val="1"/>
        <charset val="204"/>
      </rPr>
      <t>Санитарное содержание лестничных клеток:</t>
    </r>
    <r>
      <rPr>
        <sz val="10"/>
        <color theme="1"/>
        <rFont val="Times New Roman"/>
        <family val="1"/>
        <charset val="204"/>
      </rPr>
      <t xml:space="preserve">
- оплата труда рабочих;
- затраты на материалы, инвентарь.</t>
    </r>
  </si>
  <si>
    <r>
      <rPr>
        <b/>
        <sz val="10"/>
        <color theme="1"/>
        <rFont val="Times New Roman"/>
        <family val="1"/>
        <charset val="204"/>
      </rPr>
      <t>Содержание аварийно-диспетчерской службы:</t>
    </r>
    <r>
      <rPr>
        <sz val="10"/>
        <color theme="1"/>
        <rFont val="Times New Roman"/>
        <family val="1"/>
        <charset val="204"/>
      </rPr>
      <t xml:space="preserve">
- оплата труда рабочих;
- затраты на инвентарь, спецодежду;
- транспортные расходы</t>
    </r>
  </si>
  <si>
    <t>3.Выполнено</t>
  </si>
  <si>
    <t>Итого</t>
  </si>
  <si>
    <r>
      <rPr>
        <b/>
        <sz val="10"/>
        <color theme="1"/>
        <rFont val="Times New Roman"/>
        <family val="1"/>
        <charset val="204"/>
      </rPr>
      <t>Санитарное содержание придомовой территории:</t>
    </r>
    <r>
      <rPr>
        <sz val="10"/>
        <color theme="1"/>
        <rFont val="Times New Roman"/>
        <family val="1"/>
        <charset val="204"/>
      </rPr>
      <t xml:space="preserve">
- оплата труда рабочих;
- затраты на материалы инвентарь;
- покос сорных трав</t>
    </r>
  </si>
  <si>
    <t xml:space="preserve">Текущий ремонт </t>
  </si>
  <si>
    <t>Обслуживание ОПУ тепловой энергии</t>
  </si>
  <si>
    <t>Т. В. Павлова</t>
  </si>
  <si>
    <t>Виды работ и затрат</t>
  </si>
  <si>
    <t>периодичность выполнения работ и услуг</t>
  </si>
  <si>
    <t>стоимость выполненной работы/оказанной услуги</t>
  </si>
  <si>
    <t>согласно договора  управления МКД</t>
  </si>
  <si>
    <t>руб.</t>
  </si>
  <si>
    <t xml:space="preserve">согласно договора  </t>
  </si>
  <si>
    <t>постоянно</t>
  </si>
  <si>
    <t>начислено всего</t>
  </si>
  <si>
    <r>
      <rPr>
        <b/>
        <sz val="10"/>
        <color theme="1"/>
        <rFont val="Times New Roman"/>
        <family val="1"/>
        <charset val="204"/>
      </rPr>
      <t>Профилактические осмотры внутридомового инженерного
оборудования и конструктивных элементов МКД:</t>
    </r>
    <r>
      <rPr>
        <sz val="10"/>
        <color theme="1"/>
        <rFont val="Times New Roman"/>
        <family val="1"/>
        <charset val="204"/>
      </rPr>
      <t xml:space="preserve">
- затраты на весенние и осенние проверки готовности МКД к эксплуатации;
- затраты на внеочередные осмотры (после ливней, ураганных ветров, снегопадов и других явлений стихийного характера; в случае аварий на внешних коммуникациях и др.);
- ведение документов по учету технического состояния зданий</t>
    </r>
  </si>
  <si>
    <t>3187.2 кв. м</t>
  </si>
  <si>
    <t>1850.6 кв. м.</t>
  </si>
  <si>
    <t>1995,6 кв. м.</t>
  </si>
  <si>
    <t>1471,2 кв. м</t>
  </si>
  <si>
    <t>1495,1 кв. м</t>
  </si>
  <si>
    <t>2349,1 кв. м</t>
  </si>
  <si>
    <t>1511,7 кв. м.</t>
  </si>
  <si>
    <t>1389.1 кв. м</t>
  </si>
  <si>
    <t>2567,1 кв. м</t>
  </si>
  <si>
    <t>2065.0 кв. м.</t>
  </si>
  <si>
    <t>1993,5 кв. м.</t>
  </si>
  <si>
    <t>1413,4 кв. м.</t>
  </si>
  <si>
    <t>2622,7 кв. м.</t>
  </si>
  <si>
    <t>единица измерения работы/              услуги</t>
  </si>
  <si>
    <r>
      <rPr>
        <b/>
        <sz val="10"/>
        <color theme="1"/>
        <rFont val="Times New Roman"/>
        <family val="1"/>
        <charset val="204"/>
      </rPr>
      <t>Санитарное содержание придомовой территории:</t>
    </r>
    <r>
      <rPr>
        <sz val="10"/>
        <color theme="1"/>
        <rFont val="Times New Roman"/>
        <family val="1"/>
        <charset val="204"/>
      </rPr>
      <t xml:space="preserve">
- оплата труда рабочих;
- затраты на материалы, инвентарь;
- покос сорных трав</t>
    </r>
  </si>
  <si>
    <t>Приложение № 1</t>
  </si>
  <si>
    <t>Приложение № 4</t>
  </si>
  <si>
    <t>к протоколу №____общего собрания собственников</t>
  </si>
  <si>
    <r>
      <rPr>
        <b/>
        <sz val="10"/>
        <color theme="1"/>
        <rFont val="Times New Roman"/>
        <family val="1"/>
        <charset val="204"/>
      </rPr>
      <t>Общеэксплуатационные расходы:</t>
    </r>
    <r>
      <rPr>
        <sz val="10"/>
        <color theme="1"/>
        <rFont val="Times New Roman"/>
        <family val="1"/>
        <charset val="204"/>
      </rPr>
      <t xml:space="preserve">
- составление сметных расчетов;
- делопроизводство и хранение документации;
- правовая работа, взаимодействие с местными органами власти;
- планирование работ по содержанию и ремонту МКД;
- ведение электронной базы данных;
- расчет размера платы за жилищные услуги;
- анализ финансово-хозяйственной деятельности, составление отчета о выполнении договора оказания услуг;
- обеспечение бухгалтерского и налогового учета;
- информационно-разъяснительная работа с собственниками            -амортизация;                                                                                     - транспортные расходы;                                                                   - затраты на канц. товары, телефонную связь, на орг. технику;                  - услуги банка, статистики;                                                                  - услуги информационно-вычислительного центра.</t>
    </r>
  </si>
  <si>
    <t>Разница                       (+) экономия, (-) долг</t>
  </si>
  <si>
    <t>2580.1 кв. м</t>
  </si>
  <si>
    <t>2569.3 кв. м</t>
  </si>
  <si>
    <t>1806.1 кв. м</t>
  </si>
  <si>
    <t>1492.1 кв. м</t>
  </si>
  <si>
    <t>1476,3 кв. м</t>
  </si>
  <si>
    <t>2551.9 кв. м</t>
  </si>
  <si>
    <t>1479,1 кв. м</t>
  </si>
  <si>
    <t>2357,2 кв. м</t>
  </si>
  <si>
    <t>встроенные</t>
  </si>
  <si>
    <t>161,6 кв. м</t>
  </si>
  <si>
    <t>сод.жилья</t>
  </si>
  <si>
    <t>тек. ремонт</t>
  </si>
  <si>
    <t>42,5 кв. м.</t>
  </si>
  <si>
    <t>согласно договора  оказания услуг по содержанию и выполнению работ по ремонту общего имущества МКД</t>
  </si>
  <si>
    <t>круглосуточно</t>
  </si>
  <si>
    <r>
      <rPr>
        <b/>
        <sz val="10"/>
        <color theme="1"/>
        <rFont val="Times New Roman"/>
        <family val="1"/>
        <charset val="204"/>
      </rPr>
      <t>Общеэксплуатационные расходы:</t>
    </r>
    <r>
      <rPr>
        <sz val="10"/>
        <color theme="1"/>
        <rFont val="Times New Roman"/>
        <family val="1"/>
        <charset val="204"/>
      </rPr>
      <t xml:space="preserve">
- составление сметных расчетов;
- делопроизводство и хранение документации;
- правовая работа, взаимодействие с местными органами власти;
- планирование работ по содержанию и ремонту МКД;
- ведение электронной базы данных;
- расчет размера платы за жилищные услуги;
- анализ финансово-хозяйственной деятельности, составление отчета о выполнении договора оказания услуг;
- обеспечение бухгалтерского и налогового учета;                            - информационно-разъяснительная работа с собственниками            -амортизация;                                                                                     - транспортные расходы;                                                                   - затраты на канц. товары, телефонную связь, на орг. технику;                  - услуги банка, статистики;                                                                  - услуги информационно-вычислительного центра.</t>
    </r>
  </si>
  <si>
    <r>
      <rPr>
        <b/>
        <sz val="10"/>
        <color theme="1"/>
        <rFont val="Times New Roman"/>
        <family val="1"/>
        <charset val="204"/>
      </rPr>
      <t>Общеэксплуатационные расходы:</t>
    </r>
    <r>
      <rPr>
        <sz val="10"/>
        <color theme="1"/>
        <rFont val="Times New Roman"/>
        <family val="1"/>
        <charset val="204"/>
      </rPr>
      <t xml:space="preserve">
- составление сметных расчетов;
- делопроизводство и хранение документации;
- правовая работа, взаимодействие с местными органами власти;
- планирование работ по содержанию и ремонту МКД;
- ведение электронной базы данных;
- расчет размера платы за жилищные услуги;
- анализ финансово-хозяйственной деятельности, составление отчета о выполнении договора оказания услуг;
- обеспечение бухгалтерского и налогового учета;
- информационно-разъяснительная работа с собственниками            -амортизация;                                                                                     - транспортные расходы;                                                                            -затраты на канц. товары, телефонную связь, на орг. технику;                  - услуги банка, статистики;                                                                  - услуги информационно-вычислительного центра.</t>
    </r>
  </si>
  <si>
    <r>
      <rPr>
        <b/>
        <sz val="10"/>
        <color theme="1"/>
        <rFont val="Times New Roman"/>
        <family val="1"/>
        <charset val="204"/>
      </rPr>
      <t>Общеэксплуатационные расходы:</t>
    </r>
    <r>
      <rPr>
        <sz val="10"/>
        <color theme="1"/>
        <rFont val="Times New Roman"/>
        <family val="1"/>
        <charset val="204"/>
      </rPr>
      <t xml:space="preserve">
- составление сметных расчетов;
- делопроизводство и хранение документации;
- правовая работа, взаимодействие с местными органами власти;
- планирование работ по содержанию и ремонту МКД;
- ведение электронной базы данных;
- расчет размера платы за жилищные услуги;
- анализ финансово-хозяйственной деятельности, составление отчета о выполнении договора оказания услуг;
- обеспечение бухгалтерского и налогового учета;
- информационно-разъяснительная работа с собственниками                     -амортизация;                                                                                            - транспортные расходы;                                                                   - затраты на канц. товары, телефонную связь, на орг. технику;                  - услуги банка, статистики;                                                                  - услуги информационно-вычислительного центра.</t>
    </r>
  </si>
  <si>
    <r>
      <rPr>
        <b/>
        <sz val="10"/>
        <rFont val="Times New Roman"/>
        <family val="1"/>
        <charset val="204"/>
      </rPr>
      <t>Санитарное содержание лестничных клеток:</t>
    </r>
    <r>
      <rPr>
        <sz val="10"/>
        <rFont val="Times New Roman"/>
        <family val="1"/>
        <charset val="204"/>
      </rPr>
      <t xml:space="preserve">
- оплата труда рабочих;
- затраты на материалы, инвентарь.</t>
    </r>
  </si>
  <si>
    <r>
      <rPr>
        <b/>
        <sz val="10"/>
        <rFont val="Times New Roman"/>
        <family val="1"/>
        <charset val="204"/>
      </rPr>
      <t>Санитарное содержание придомовой территории:</t>
    </r>
    <r>
      <rPr>
        <sz val="10"/>
        <rFont val="Times New Roman"/>
        <family val="1"/>
        <charset val="204"/>
      </rPr>
      <t xml:space="preserve">
- оплата труда рабочих;
- затраты на материалы инвентарь;
- покос сорных трав</t>
    </r>
  </si>
  <si>
    <r>
      <rPr>
        <b/>
        <sz val="10"/>
        <rFont val="Times New Roman"/>
        <family val="1"/>
        <charset val="204"/>
      </rPr>
      <t>Содержание аварийно-диспетчерской службы:</t>
    </r>
    <r>
      <rPr>
        <sz val="10"/>
        <rFont val="Times New Roman"/>
        <family val="1"/>
        <charset val="204"/>
      </rPr>
      <t xml:space="preserve">
- оплата труда рабочих;
- затраты на инвентарь, спецодежду;
- транспортные расходы</t>
    </r>
  </si>
  <si>
    <r>
      <rPr>
        <b/>
        <sz val="10"/>
        <rFont val="Times New Roman"/>
        <family val="1"/>
        <charset val="204"/>
      </rPr>
      <t>Общеэксплуатационные расходы:</t>
    </r>
    <r>
      <rPr>
        <sz val="10"/>
        <rFont val="Times New Roman"/>
        <family val="1"/>
        <charset val="204"/>
      </rPr>
      <t xml:space="preserve">
- составление сметных расчетов;
- делопроизводство и хранение документации;
- правовая работа, взаимодействие с местными органами власти;
- планирование работ по содержанию и ремонту МКД;
- ведение электронной базы данных;
- расчет размера платы за жилищные услуги;
- анализ финансово-хозяйственной деятельности, составление отчета о выполнении договора оказания услуг;
- обеспечение бухгалтерского и налогового учета;
- информационно-разъяснительная работа с собственниками            -амортизация;                                                                                     - транспортные расходы;                                                                   - затраты на канц. товары, телефонную связь, на орг. технику;                  - услуги банка, статистики;                                                                  - услуги информационно-вычислительного центра.</t>
    </r>
  </si>
  <si>
    <r>
      <rPr>
        <b/>
        <sz val="10"/>
        <rFont val="Times New Roman"/>
        <family val="1"/>
        <charset val="204"/>
      </rPr>
      <t>Профилактические осмотры внутридомового инженерного
оборудования и конструктивных элементов МКД:</t>
    </r>
    <r>
      <rPr>
        <sz val="10"/>
        <rFont val="Times New Roman"/>
        <family val="1"/>
        <charset val="204"/>
      </rPr>
      <t xml:space="preserve">
- затраты на весенние и осенние проверки готовности МКД к эксплуатации;
- затраты на внеочередные осмотры (после ливней, ураганных ветров, снегопадов и других явлений стихийного характера; в случае аварий на внешних коммуникациях и др.);
- ведение документов по учету технического состояния зданий</t>
    </r>
  </si>
  <si>
    <r>
      <t>4.Остаток на начало отчетного периода</t>
    </r>
    <r>
      <rPr>
        <sz val="8"/>
        <color theme="1"/>
        <rFont val="Times New Roman"/>
        <family val="1"/>
        <charset val="204"/>
      </rPr>
      <t xml:space="preserve"> ("Оплачено" минус "Выполнено")
("-" - перевыполнено работ (долг); "+" - недовыполнено работ (экономия))</t>
    </r>
  </si>
  <si>
    <r>
      <t>4.Остаток на конец отчетного периода</t>
    </r>
    <r>
      <rPr>
        <sz val="8"/>
        <color theme="1"/>
        <rFont val="Times New Roman"/>
        <family val="1"/>
        <charset val="204"/>
      </rPr>
      <t xml:space="preserve"> ("Оплачено" минус "Выполнено")
("-" - перевыполнено работ (долг); "+" - недовыполнено работ (экономия))</t>
    </r>
  </si>
  <si>
    <t>начислено содержание жилья</t>
  </si>
  <si>
    <t>факт содержание жилья</t>
  </si>
  <si>
    <t>_________________________</t>
  </si>
  <si>
    <t>__________________________</t>
  </si>
  <si>
    <t>помещения МКД № 60 по ул. Харьковская, г. Новошахтинска</t>
  </si>
  <si>
    <t>помещения МКД № 62  по ул.Харьковская, г. Новошахтинска</t>
  </si>
  <si>
    <t>помещения МКД № 62А по ул. Харьковская, г. Новошахтинска</t>
  </si>
  <si>
    <t>помещения МКД № 68 по ул. Харьковская, г. Новошахтинска</t>
  </si>
  <si>
    <t>помещения МКД № 68А по ул. Харьковская, г. Новошахтинска</t>
  </si>
  <si>
    <t>помещения МКД № 70 по ул. Харьковская, г. Новошахтинска</t>
  </si>
  <si>
    <t>помещения МКД № 70А по ул. Харьковская, г. Новошахтинска</t>
  </si>
  <si>
    <t>помещения МКД № 72 по ул. Харьковская, г. Новошахтинска</t>
  </si>
  <si>
    <t>помещения МКД № 72А по ул. Харьковская, г. Новошахтинска</t>
  </si>
  <si>
    <t>помещения МКД № 82 по ул. Харьковская, г. Новошахтинска</t>
  </si>
  <si>
    <t>помещения МКД № 84В по ул. Харьковская, г. Новошахтинска</t>
  </si>
  <si>
    <t>помещения МКД № 86А по ул. Харьковская, г. Новошахтинска</t>
  </si>
  <si>
    <t>помещения МКД № 88 по ул. Харьковская, г. Новошахтинска</t>
  </si>
  <si>
    <t>помещения МКД № 92 по ул. Харьковская, г. Новошахтинска</t>
  </si>
  <si>
    <t>помещения МКД № 92А по ул. Харьковская, г. Новошахтинска</t>
  </si>
  <si>
    <t>помещения МКД № 94 по ул. Харьковская, г. Новошахтинска</t>
  </si>
  <si>
    <t>помещения МКД № 96 по ул. Харьковская г. Новошахтинска</t>
  </si>
  <si>
    <t>помещения МКД № 96А по ул. Харьковская, г. Новошахтинска</t>
  </si>
  <si>
    <t>помещения МКД № 98 по ул. Харьковская, г. Новошахтинска</t>
  </si>
  <si>
    <t>помещения МКД № 100  по ул. Харьковская, г. Новошахтинска</t>
  </si>
  <si>
    <t>Валка деревьев</t>
  </si>
  <si>
    <t>по заявкам</t>
  </si>
  <si>
    <t>Р.А. Абдуллаев</t>
  </si>
  <si>
    <t>Н.Е. Потокина</t>
  </si>
  <si>
    <t>Переходящие остатки денежных средств на 01.01.2023 года</t>
  </si>
  <si>
    <t>Ежегодный отчет Управляющей организации ООО "Партнер-1" о выполнении Договора о деятельности за отчетный период с 01.01.2023 г. по 31.12.2023 г.</t>
  </si>
  <si>
    <t>период с 01.07.2013 года по 01.01.2023 года</t>
  </si>
  <si>
    <t>Отчет об оказанных услугах и выполненных работах по содержанию и текущему ремонту общего имущества в МКД за 2023 год</t>
  </si>
  <si>
    <t>ст-ть на 1 кв. м общей жилой  площади (руб. в мес.)  2023</t>
  </si>
  <si>
    <t>Переходящие остатки денежных средств на 01.01.2024 года</t>
  </si>
  <si>
    <t>период с 01.07.2013 года по 01.01.2024 года</t>
  </si>
  <si>
    <t>от _______________________2024 г.</t>
  </si>
  <si>
    <t>получено</t>
  </si>
</sst>
</file>

<file path=xl/styles.xml><?xml version="1.0" encoding="utf-8"?>
<styleSheet xmlns="http://schemas.openxmlformats.org/spreadsheetml/2006/main">
  <numFmts count="3">
    <numFmt numFmtId="164" formatCode="0.000"/>
    <numFmt numFmtId="165" formatCode="0.0000"/>
    <numFmt numFmtId="166" formatCode="0.0"/>
  </numFmts>
  <fonts count="25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i/>
      <u/>
      <sz val="14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sz val="11"/>
      <color theme="0"/>
      <name val="Calibri"/>
      <family val="2"/>
      <charset val="204"/>
      <scheme val="minor"/>
    </font>
    <font>
      <sz val="12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sz val="10"/>
      <color theme="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sz val="11"/>
      <color theme="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99">
    <xf numFmtId="0" fontId="0" fillId="0" borderId="0" xfId="0"/>
    <xf numFmtId="0" fontId="2" fillId="0" borderId="0" xfId="0" applyFont="1" applyFill="1"/>
    <xf numFmtId="0" fontId="4" fillId="0" borderId="0" xfId="0" applyFont="1" applyFill="1"/>
    <xf numFmtId="0" fontId="2" fillId="0" borderId="0" xfId="0" applyFont="1" applyFill="1" applyAlignment="1">
      <alignment horizontal="center" vertical="center"/>
    </xf>
    <xf numFmtId="2" fontId="4" fillId="0" borderId="0" xfId="0" applyNumberFormat="1" applyFont="1" applyFill="1"/>
    <xf numFmtId="2" fontId="2" fillId="0" borderId="0" xfId="0" applyNumberFormat="1" applyFont="1" applyFill="1"/>
    <xf numFmtId="0" fontId="5" fillId="0" borderId="0" xfId="0" applyFont="1" applyFill="1"/>
    <xf numFmtId="0" fontId="2" fillId="0" borderId="0" xfId="0" applyFont="1" applyFill="1" applyAlignment="1">
      <alignment horizontal="right"/>
    </xf>
    <xf numFmtId="0" fontId="2" fillId="0" borderId="0" xfId="0" applyFont="1" applyFill="1" applyAlignment="1"/>
    <xf numFmtId="0" fontId="4" fillId="0" borderId="0" xfId="0" applyFont="1" applyFill="1" applyAlignment="1">
      <alignment horizontal="center" wrapText="1"/>
    </xf>
    <xf numFmtId="0" fontId="5" fillId="0" borderId="0" xfId="0" applyFont="1" applyFill="1" applyBorder="1" applyAlignment="1">
      <alignment vertical="center" wrapText="1"/>
    </xf>
    <xf numFmtId="2" fontId="5" fillId="0" borderId="0" xfId="0" applyNumberFormat="1" applyFont="1" applyFill="1" applyBorder="1" applyAlignment="1">
      <alignment horizontal="center" vertical="center"/>
    </xf>
    <xf numFmtId="2" fontId="5" fillId="0" borderId="0" xfId="0" applyNumberFormat="1" applyFont="1" applyFill="1" applyBorder="1" applyAlignment="1">
      <alignment horizontal="center" wrapText="1"/>
    </xf>
    <xf numFmtId="0" fontId="8" fillId="0" borderId="0" xfId="0" applyFont="1" applyFill="1" applyAlignment="1">
      <alignment wrapText="1"/>
    </xf>
    <xf numFmtId="2" fontId="2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wrapText="1"/>
    </xf>
    <xf numFmtId="2" fontId="2" fillId="0" borderId="0" xfId="0" applyNumberFormat="1" applyFont="1" applyFill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 wrapText="1"/>
    </xf>
    <xf numFmtId="0" fontId="11" fillId="0" borderId="17" xfId="0" applyFont="1" applyFill="1" applyBorder="1" applyAlignment="1">
      <alignment horizontal="center" vertical="center" wrapText="1"/>
    </xf>
    <xf numFmtId="0" fontId="5" fillId="0" borderId="29" xfId="0" applyFont="1" applyFill="1" applyBorder="1" applyAlignment="1">
      <alignment vertical="top" wrapText="1"/>
    </xf>
    <xf numFmtId="0" fontId="10" fillId="0" borderId="26" xfId="0" applyFont="1" applyFill="1" applyBorder="1" applyAlignment="1">
      <alignment horizontal="left" vertical="center" wrapText="1"/>
    </xf>
    <xf numFmtId="0" fontId="10" fillId="0" borderId="26" xfId="0" applyFont="1" applyFill="1" applyBorder="1" applyAlignment="1">
      <alignment horizontal="center" vertical="center" wrapText="1"/>
    </xf>
    <xf numFmtId="2" fontId="5" fillId="0" borderId="31" xfId="0" applyNumberFormat="1" applyFont="1" applyFill="1" applyBorder="1" applyAlignment="1">
      <alignment horizontal="center" vertical="center"/>
    </xf>
    <xf numFmtId="2" fontId="5" fillId="0" borderId="7" xfId="0" applyNumberFormat="1" applyFont="1" applyFill="1" applyBorder="1" applyAlignment="1">
      <alignment horizontal="center" vertical="center" wrapText="1"/>
    </xf>
    <xf numFmtId="2" fontId="5" fillId="0" borderId="30" xfId="0" applyNumberFormat="1" applyFont="1" applyFill="1" applyBorder="1" applyAlignment="1">
      <alignment horizontal="center" vertical="center" wrapText="1"/>
    </xf>
    <xf numFmtId="2" fontId="3" fillId="0" borderId="24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2" fontId="3" fillId="0" borderId="0" xfId="0" applyNumberFormat="1" applyFont="1" applyFill="1"/>
    <xf numFmtId="0" fontId="5" fillId="0" borderId="7" xfId="0" applyFont="1" applyFill="1" applyBorder="1" applyAlignment="1">
      <alignment vertical="top" wrapText="1"/>
    </xf>
    <xf numFmtId="2" fontId="5" fillId="0" borderId="15" xfId="0" applyNumberFormat="1" applyFont="1" applyFill="1" applyBorder="1" applyAlignment="1">
      <alignment horizontal="center" vertical="center"/>
    </xf>
    <xf numFmtId="2" fontId="5" fillId="0" borderId="1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/>
    <xf numFmtId="0" fontId="3" fillId="0" borderId="7" xfId="0" applyFont="1" applyFill="1" applyBorder="1" applyAlignment="1">
      <alignment vertical="top" wrapText="1"/>
    </xf>
    <xf numFmtId="0" fontId="2" fillId="0" borderId="0" xfId="0" applyFont="1" applyFill="1" applyBorder="1"/>
    <xf numFmtId="0" fontId="10" fillId="0" borderId="8" xfId="0" applyFont="1" applyFill="1" applyBorder="1" applyAlignment="1">
      <alignment horizontal="left" wrapText="1"/>
    </xf>
    <xf numFmtId="0" fontId="3" fillId="0" borderId="42" xfId="0" applyFont="1" applyFill="1" applyBorder="1"/>
    <xf numFmtId="0" fontId="10" fillId="0" borderId="38" xfId="0" applyFont="1" applyFill="1" applyBorder="1" applyAlignment="1">
      <alignment horizontal="left"/>
    </xf>
    <xf numFmtId="0" fontId="10" fillId="0" borderId="14" xfId="0" applyFont="1" applyFill="1" applyBorder="1" applyAlignment="1">
      <alignment horizontal="center" vertical="center" wrapText="1"/>
    </xf>
    <xf numFmtId="2" fontId="5" fillId="0" borderId="39" xfId="0" applyNumberFormat="1" applyFont="1" applyFill="1" applyBorder="1" applyAlignment="1">
      <alignment horizontal="center" vertical="center"/>
    </xf>
    <xf numFmtId="0" fontId="3" fillId="0" borderId="1" xfId="0" applyFont="1" applyFill="1" applyBorder="1"/>
    <xf numFmtId="0" fontId="3" fillId="0" borderId="2" xfId="0" applyFont="1" applyFill="1" applyBorder="1"/>
    <xf numFmtId="2" fontId="3" fillId="0" borderId="21" xfId="0" applyNumberFormat="1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 wrapText="1"/>
    </xf>
    <xf numFmtId="2" fontId="3" fillId="0" borderId="41" xfId="0" applyNumberFormat="1" applyFont="1" applyFill="1" applyBorder="1" applyAlignment="1">
      <alignment horizontal="center" vertical="center"/>
    </xf>
    <xf numFmtId="2" fontId="3" fillId="0" borderId="22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wrapText="1"/>
    </xf>
    <xf numFmtId="0" fontId="6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/>
    <xf numFmtId="0" fontId="5" fillId="0" borderId="0" xfId="0" applyFont="1" applyFill="1" applyBorder="1"/>
    <xf numFmtId="2" fontId="5" fillId="0" borderId="0" xfId="0" applyNumberFormat="1" applyFont="1" applyFill="1" applyBorder="1" applyAlignment="1"/>
    <xf numFmtId="2" fontId="5" fillId="0" borderId="0" xfId="0" applyNumberFormat="1" applyFont="1" applyFill="1" applyBorder="1"/>
    <xf numFmtId="0" fontId="3" fillId="0" borderId="0" xfId="0" applyFont="1" applyFill="1" applyAlignment="1"/>
    <xf numFmtId="0" fontId="3" fillId="0" borderId="0" xfId="0" applyFont="1" applyFill="1" applyAlignment="1">
      <alignment horizontal="left" vertical="center"/>
    </xf>
    <xf numFmtId="0" fontId="5" fillId="0" borderId="0" xfId="0" applyFont="1" applyFill="1" applyAlignment="1"/>
    <xf numFmtId="0" fontId="5" fillId="0" borderId="0" xfId="0" applyFont="1" applyFill="1" applyAlignment="1">
      <alignment horizontal="left"/>
    </xf>
    <xf numFmtId="0" fontId="5" fillId="0" borderId="0" xfId="0" applyFont="1" applyFill="1" applyAlignment="1">
      <alignment horizontal="center" vertical="center"/>
    </xf>
    <xf numFmtId="2" fontId="5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wrapText="1"/>
    </xf>
    <xf numFmtId="2" fontId="5" fillId="0" borderId="0" xfId="0" applyNumberFormat="1" applyFont="1" applyFill="1" applyAlignment="1">
      <alignment horizontal="center" vertical="center" wrapText="1"/>
    </xf>
    <xf numFmtId="165" fontId="2" fillId="0" borderId="0" xfId="0" applyNumberFormat="1" applyFont="1" applyFill="1" applyAlignment="1">
      <alignment horizontal="center" vertical="center"/>
    </xf>
    <xf numFmtId="165" fontId="2" fillId="0" borderId="0" xfId="0" applyNumberFormat="1" applyFont="1" applyFill="1" applyAlignment="1">
      <alignment horizontal="center" vertical="center" wrapText="1"/>
    </xf>
    <xf numFmtId="0" fontId="3" fillId="0" borderId="42" xfId="0" applyFont="1" applyFill="1" applyBorder="1" applyAlignment="1">
      <alignment vertical="top" wrapText="1"/>
    </xf>
    <xf numFmtId="2" fontId="3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2" fontId="2" fillId="0" borderId="0" xfId="0" applyNumberFormat="1" applyFont="1" applyFill="1" applyBorder="1"/>
    <xf numFmtId="0" fontId="2" fillId="0" borderId="0" xfId="0" applyFont="1" applyFill="1" applyAlignment="1">
      <alignment vertical="center"/>
    </xf>
    <xf numFmtId="0" fontId="9" fillId="0" borderId="0" xfId="0" applyFont="1" applyFill="1" applyAlignment="1">
      <alignment wrapText="1"/>
    </xf>
    <xf numFmtId="0" fontId="9" fillId="0" borderId="0" xfId="0" applyFont="1" applyFill="1" applyAlignment="1">
      <alignment horizontal="center" wrapText="1"/>
    </xf>
    <xf numFmtId="2" fontId="2" fillId="0" borderId="0" xfId="0" applyNumberFormat="1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 wrapText="1"/>
    </xf>
    <xf numFmtId="0" fontId="1" fillId="0" borderId="0" xfId="0" applyFont="1" applyFill="1" applyBorder="1" applyAlignment="1">
      <alignment horizont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wrapText="1"/>
    </xf>
    <xf numFmtId="0" fontId="3" fillId="0" borderId="0" xfId="0" applyFont="1" applyFill="1" applyAlignment="1">
      <alignment horizontal="center" wrapText="1"/>
    </xf>
    <xf numFmtId="0" fontId="5" fillId="0" borderId="0" xfId="0" applyFont="1" applyFill="1" applyBorder="1" applyAlignment="1">
      <alignment wrapText="1"/>
    </xf>
    <xf numFmtId="2" fontId="5" fillId="0" borderId="0" xfId="0" applyNumberFormat="1" applyFont="1" applyFill="1" applyBorder="1" applyAlignment="1">
      <alignment horizontal="center" vertical="center" wrapText="1"/>
    </xf>
    <xf numFmtId="0" fontId="12" fillId="0" borderId="0" xfId="0" applyFont="1" applyFill="1"/>
    <xf numFmtId="0" fontId="14" fillId="0" borderId="0" xfId="0" applyFont="1" applyFill="1" applyAlignment="1">
      <alignment horizontal="center" wrapText="1"/>
    </xf>
    <xf numFmtId="0" fontId="12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left" vertical="center"/>
    </xf>
    <xf numFmtId="0" fontId="12" fillId="0" borderId="0" xfId="0" applyFont="1" applyFill="1" applyAlignment="1">
      <alignment wrapText="1"/>
    </xf>
    <xf numFmtId="0" fontId="12" fillId="0" borderId="0" xfId="0" applyFont="1" applyFill="1" applyAlignment="1">
      <alignment horizontal="center" vertical="center" wrapText="1"/>
    </xf>
    <xf numFmtId="2" fontId="12" fillId="0" borderId="0" xfId="0" applyNumberFormat="1" applyFont="1" applyFill="1"/>
    <xf numFmtId="0" fontId="13" fillId="0" borderId="29" xfId="0" applyFont="1" applyFill="1" applyBorder="1" applyAlignment="1">
      <alignment vertical="top" wrapText="1"/>
    </xf>
    <xf numFmtId="0" fontId="17" fillId="0" borderId="26" xfId="0" applyFont="1" applyFill="1" applyBorder="1" applyAlignment="1">
      <alignment horizontal="left" vertical="center" wrapText="1"/>
    </xf>
    <xf numFmtId="0" fontId="18" fillId="0" borderId="26" xfId="0" applyFont="1" applyFill="1" applyBorder="1" applyAlignment="1">
      <alignment horizontal="center" vertical="center" wrapText="1"/>
    </xf>
    <xf numFmtId="2" fontId="13" fillId="0" borderId="31" xfId="0" applyNumberFormat="1" applyFont="1" applyFill="1" applyBorder="1" applyAlignment="1">
      <alignment horizontal="center" vertical="center"/>
    </xf>
    <xf numFmtId="2" fontId="13" fillId="0" borderId="7" xfId="0" applyNumberFormat="1" applyFont="1" applyFill="1" applyBorder="1" applyAlignment="1">
      <alignment horizontal="center" vertical="center" wrapText="1"/>
    </xf>
    <xf numFmtId="2" fontId="13" fillId="0" borderId="30" xfId="0" applyNumberFormat="1" applyFont="1" applyFill="1" applyBorder="1" applyAlignment="1">
      <alignment horizontal="center" vertical="center" wrapText="1"/>
    </xf>
    <xf numFmtId="2" fontId="16" fillId="0" borderId="24" xfId="0" applyNumberFormat="1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2" fontId="16" fillId="0" borderId="0" xfId="0" applyNumberFormat="1" applyFont="1" applyFill="1"/>
    <xf numFmtId="0" fontId="13" fillId="0" borderId="7" xfId="0" applyFont="1" applyFill="1" applyBorder="1" applyAlignment="1">
      <alignment vertical="top" wrapText="1"/>
    </xf>
    <xf numFmtId="2" fontId="13" fillId="0" borderId="15" xfId="0" applyNumberFormat="1" applyFont="1" applyFill="1" applyBorder="1" applyAlignment="1">
      <alignment horizontal="center" vertical="center"/>
    </xf>
    <xf numFmtId="0" fontId="15" fillId="0" borderId="0" xfId="0" applyFont="1" applyFill="1" applyBorder="1"/>
    <xf numFmtId="0" fontId="15" fillId="0" borderId="0" xfId="0" applyFont="1" applyFill="1"/>
    <xf numFmtId="2" fontId="15" fillId="0" borderId="0" xfId="0" applyNumberFormat="1" applyFont="1" applyFill="1"/>
    <xf numFmtId="0" fontId="16" fillId="0" borderId="7" xfId="0" applyFont="1" applyFill="1" applyBorder="1" applyAlignment="1">
      <alignment vertical="top" wrapText="1"/>
    </xf>
    <xf numFmtId="0" fontId="12" fillId="0" borderId="0" xfId="0" applyFont="1" applyFill="1" applyBorder="1"/>
    <xf numFmtId="0" fontId="18" fillId="0" borderId="8" xfId="0" applyFont="1" applyFill="1" applyBorder="1" applyAlignment="1">
      <alignment horizontal="left" wrapText="1"/>
    </xf>
    <xf numFmtId="0" fontId="18" fillId="0" borderId="26" xfId="0" applyFont="1" applyFill="1" applyBorder="1" applyAlignment="1">
      <alignment horizontal="left" vertical="center" wrapText="1"/>
    </xf>
    <xf numFmtId="2" fontId="13" fillId="0" borderId="10" xfId="0" applyNumberFormat="1" applyFont="1" applyFill="1" applyBorder="1" applyAlignment="1">
      <alignment horizontal="center" vertical="center" wrapText="1"/>
    </xf>
    <xf numFmtId="0" fontId="16" fillId="0" borderId="42" xfId="0" applyFont="1" applyFill="1" applyBorder="1" applyAlignment="1">
      <alignment vertical="top" wrapText="1"/>
    </xf>
    <xf numFmtId="0" fontId="18" fillId="0" borderId="38" xfId="0" applyFont="1" applyFill="1" applyBorder="1" applyAlignment="1">
      <alignment horizontal="left"/>
    </xf>
    <xf numFmtId="0" fontId="18" fillId="0" borderId="14" xfId="0" applyFont="1" applyFill="1" applyBorder="1" applyAlignment="1">
      <alignment horizontal="center" vertical="center" wrapText="1"/>
    </xf>
    <xf numFmtId="2" fontId="13" fillId="0" borderId="39" xfId="0" applyNumberFormat="1" applyFont="1" applyFill="1" applyBorder="1" applyAlignment="1">
      <alignment horizontal="center" vertical="center"/>
    </xf>
    <xf numFmtId="0" fontId="16" fillId="0" borderId="1" xfId="0" applyFont="1" applyFill="1" applyBorder="1"/>
    <xf numFmtId="0" fontId="16" fillId="0" borderId="2" xfId="0" applyFont="1" applyFill="1" applyBorder="1"/>
    <xf numFmtId="2" fontId="16" fillId="0" borderId="1" xfId="0" applyNumberFormat="1" applyFont="1" applyFill="1" applyBorder="1" applyAlignment="1">
      <alignment horizontal="center" vertical="center" wrapText="1"/>
    </xf>
    <xf numFmtId="2" fontId="16" fillId="0" borderId="41" xfId="0" applyNumberFormat="1" applyFont="1" applyFill="1" applyBorder="1" applyAlignment="1">
      <alignment horizontal="center" vertical="center"/>
    </xf>
    <xf numFmtId="2" fontId="16" fillId="0" borderId="22" xfId="0" applyNumberFormat="1" applyFont="1" applyFill="1" applyBorder="1" applyAlignment="1">
      <alignment horizontal="center" vertical="center"/>
    </xf>
    <xf numFmtId="2" fontId="12" fillId="0" borderId="0" xfId="0" applyNumberFormat="1" applyFont="1" applyFill="1" applyAlignment="1">
      <alignment horizontal="center" vertical="center"/>
    </xf>
    <xf numFmtId="0" fontId="15" fillId="0" borderId="0" xfId="0" applyFont="1" applyFill="1" applyAlignment="1">
      <alignment wrapText="1"/>
    </xf>
    <xf numFmtId="0" fontId="13" fillId="0" borderId="33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horizontal="center" vertical="center"/>
    </xf>
    <xf numFmtId="2" fontId="13" fillId="0" borderId="33" xfId="0" applyNumberFormat="1" applyFont="1" applyFill="1" applyBorder="1" applyAlignment="1"/>
    <xf numFmtId="2" fontId="13" fillId="0" borderId="0" xfId="0" applyNumberFormat="1" applyFont="1" applyFill="1" applyBorder="1" applyAlignment="1"/>
    <xf numFmtId="0" fontId="13" fillId="0" borderId="0" xfId="0" applyFont="1" applyFill="1" applyBorder="1"/>
    <xf numFmtId="0" fontId="13" fillId="0" borderId="0" xfId="0" applyFont="1" applyFill="1"/>
    <xf numFmtId="0" fontId="13" fillId="0" borderId="0" xfId="0" applyFont="1" applyFill="1" applyAlignment="1">
      <alignment horizontal="center" vertical="center"/>
    </xf>
    <xf numFmtId="0" fontId="17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wrapText="1"/>
    </xf>
    <xf numFmtId="0" fontId="13" fillId="0" borderId="0" xfId="0" applyFont="1" applyFill="1" applyAlignment="1">
      <alignment horizontal="center" vertical="center" wrapText="1"/>
    </xf>
    <xf numFmtId="0" fontId="16" fillId="0" borderId="0" xfId="0" applyFont="1" applyFill="1" applyAlignment="1"/>
    <xf numFmtId="164" fontId="2" fillId="0" borderId="0" xfId="0" applyNumberFormat="1" applyFont="1" applyFill="1" applyAlignment="1">
      <alignment horizontal="center" vertical="center"/>
    </xf>
    <xf numFmtId="164" fontId="2" fillId="0" borderId="0" xfId="0" applyNumberFormat="1" applyFont="1" applyFill="1" applyAlignment="1">
      <alignment horizontal="center" vertical="center" wrapText="1"/>
    </xf>
    <xf numFmtId="0" fontId="10" fillId="0" borderId="8" xfId="0" applyFont="1" applyFill="1" applyBorder="1" applyAlignment="1">
      <alignment horizontal="left"/>
    </xf>
    <xf numFmtId="0" fontId="3" fillId="0" borderId="11" xfId="0" applyFont="1" applyFill="1" applyBorder="1"/>
    <xf numFmtId="0" fontId="3" fillId="0" borderId="12" xfId="0" applyFont="1" applyFill="1" applyBorder="1"/>
    <xf numFmtId="2" fontId="3" fillId="0" borderId="16" xfId="0" applyNumberFormat="1" applyFont="1" applyFill="1" applyBorder="1" applyAlignment="1">
      <alignment horizontal="center" vertical="center"/>
    </xf>
    <xf numFmtId="2" fontId="3" fillId="0" borderId="11" xfId="0" applyNumberFormat="1" applyFont="1" applyFill="1" applyBorder="1" applyAlignment="1">
      <alignment horizontal="center" vertical="center" wrapText="1"/>
    </xf>
    <xf numFmtId="2" fontId="3" fillId="0" borderId="17" xfId="0" applyNumberFormat="1" applyFont="1" applyFill="1" applyBorder="1" applyAlignment="1">
      <alignment horizontal="center" vertical="center"/>
    </xf>
    <xf numFmtId="2" fontId="3" fillId="0" borderId="20" xfId="0" applyNumberFormat="1" applyFont="1" applyFill="1" applyBorder="1" applyAlignment="1">
      <alignment horizontal="center" vertical="center"/>
    </xf>
    <xf numFmtId="164" fontId="2" fillId="0" borderId="0" xfId="0" applyNumberFormat="1" applyFont="1" applyFill="1" applyAlignment="1">
      <alignment horizontal="center"/>
    </xf>
    <xf numFmtId="0" fontId="1" fillId="0" borderId="0" xfId="0" applyFont="1" applyFill="1" applyAlignment="1">
      <alignment wrapText="1"/>
    </xf>
    <xf numFmtId="0" fontId="3" fillId="0" borderId="28" xfId="0" applyFont="1" applyFill="1" applyBorder="1" applyAlignment="1"/>
    <xf numFmtId="0" fontId="4" fillId="0" borderId="0" xfId="0" applyFont="1" applyFill="1" applyBorder="1" applyAlignment="1">
      <alignment horizontal="center" wrapText="1" shrinkToFit="1"/>
    </xf>
    <xf numFmtId="0" fontId="11" fillId="0" borderId="0" xfId="0" applyFont="1" applyFill="1" applyBorder="1" applyAlignment="1">
      <alignment horizontal="center" vertical="center"/>
    </xf>
    <xf numFmtId="2" fontId="3" fillId="0" borderId="0" xfId="0" applyNumberFormat="1" applyFont="1" applyFill="1" applyBorder="1" applyAlignment="1">
      <alignment horizontal="center" vertical="center" wrapText="1"/>
    </xf>
    <xf numFmtId="2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wrapText="1"/>
    </xf>
    <xf numFmtId="0" fontId="4" fillId="0" borderId="0" xfId="0" applyFont="1" applyFill="1" applyBorder="1" applyAlignment="1"/>
    <xf numFmtId="2" fontId="3" fillId="0" borderId="0" xfId="0" applyNumberFormat="1" applyFont="1" applyFill="1" applyBorder="1" applyAlignment="1">
      <alignment horizontal="center" wrapText="1"/>
    </xf>
    <xf numFmtId="2" fontId="3" fillId="0" borderId="28" xfId="0" applyNumberFormat="1" applyFont="1" applyFill="1" applyBorder="1" applyAlignment="1">
      <alignment horizontal="center"/>
    </xf>
    <xf numFmtId="2" fontId="3" fillId="0" borderId="0" xfId="0" applyNumberFormat="1" applyFont="1" applyFill="1" applyBorder="1" applyAlignment="1">
      <alignment horizontal="center"/>
    </xf>
    <xf numFmtId="0" fontId="5" fillId="0" borderId="0" xfId="0" applyFont="1" applyFill="1" applyAlignment="1">
      <alignment horizontal="left" vertical="center" wrapText="1"/>
    </xf>
    <xf numFmtId="2" fontId="3" fillId="0" borderId="44" xfId="0" applyNumberFormat="1" applyFont="1" applyFill="1" applyBorder="1" applyAlignment="1">
      <alignment horizontal="center" vertical="center" wrapText="1"/>
    </xf>
    <xf numFmtId="0" fontId="5" fillId="0" borderId="29" xfId="0" applyFont="1" applyFill="1" applyBorder="1"/>
    <xf numFmtId="0" fontId="5" fillId="0" borderId="7" xfId="0" applyFont="1" applyFill="1" applyBorder="1"/>
    <xf numFmtId="0" fontId="5" fillId="0" borderId="23" xfId="0" applyFont="1" applyFill="1" applyBorder="1"/>
    <xf numFmtId="0" fontId="5" fillId="0" borderId="1" xfId="0" applyFont="1" applyFill="1" applyBorder="1" applyAlignment="1">
      <alignment wrapText="1"/>
    </xf>
    <xf numFmtId="0" fontId="5" fillId="0" borderId="28" xfId="0" applyFont="1" applyFill="1" applyBorder="1" applyAlignment="1">
      <alignment wrapText="1"/>
    </xf>
    <xf numFmtId="2" fontId="3" fillId="0" borderId="28" xfId="0" applyNumberFormat="1" applyFont="1" applyFill="1" applyBorder="1" applyAlignment="1">
      <alignment horizontal="center" wrapText="1"/>
    </xf>
    <xf numFmtId="0" fontId="2" fillId="0" borderId="0" xfId="0" applyFont="1" applyFill="1" applyAlignment="1">
      <alignment horizontal="left" vertical="center"/>
    </xf>
    <xf numFmtId="0" fontId="5" fillId="0" borderId="33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2" fontId="5" fillId="0" borderId="33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2" fontId="5" fillId="0" borderId="0" xfId="0" applyNumberFormat="1" applyFont="1" applyFill="1" applyBorder="1" applyAlignment="1">
      <alignment horizontal="center"/>
    </xf>
    <xf numFmtId="2" fontId="3" fillId="0" borderId="33" xfId="0" applyNumberFormat="1" applyFont="1" applyFill="1" applyBorder="1" applyAlignment="1">
      <alignment horizontal="center"/>
    </xf>
    <xf numFmtId="0" fontId="10" fillId="0" borderId="0" xfId="0" applyFont="1" applyFill="1"/>
    <xf numFmtId="2" fontId="10" fillId="0" borderId="0" xfId="0" applyNumberFormat="1" applyFont="1" applyFill="1" applyAlignment="1">
      <alignment horizontal="center" vertical="center"/>
    </xf>
    <xf numFmtId="0" fontId="10" fillId="0" borderId="0" xfId="0" applyFont="1" applyFill="1" applyAlignment="1">
      <alignment wrapText="1"/>
    </xf>
    <xf numFmtId="2" fontId="10" fillId="0" borderId="0" xfId="0" applyNumberFormat="1" applyFont="1" applyFill="1" applyAlignment="1">
      <alignment horizontal="center" vertical="center" wrapText="1"/>
    </xf>
    <xf numFmtId="165" fontId="10" fillId="0" borderId="0" xfId="0" applyNumberFormat="1" applyFont="1" applyFill="1" applyAlignment="1">
      <alignment horizontal="center" vertical="center"/>
    </xf>
    <xf numFmtId="165" fontId="10" fillId="0" borderId="0" xfId="0" applyNumberFormat="1" applyFont="1" applyFill="1" applyAlignment="1">
      <alignment horizontal="center" vertical="center" wrapText="1"/>
    </xf>
    <xf numFmtId="0" fontId="5" fillId="0" borderId="45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/>
    <xf numFmtId="0" fontId="10" fillId="0" borderId="0" xfId="0" applyFont="1" applyFill="1" applyAlignment="1">
      <alignment vertical="center"/>
    </xf>
    <xf numFmtId="0" fontId="10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 wrapText="1"/>
    </xf>
    <xf numFmtId="164" fontId="10" fillId="0" borderId="0" xfId="0" applyNumberFormat="1" applyFont="1" applyFill="1" applyAlignment="1">
      <alignment horizontal="center" vertical="center"/>
    </xf>
    <xf numFmtId="164" fontId="10" fillId="0" borderId="0" xfId="0" applyNumberFormat="1" applyFont="1" applyFill="1" applyAlignment="1">
      <alignment horizontal="center" vertical="center" wrapText="1"/>
    </xf>
    <xf numFmtId="0" fontId="10" fillId="0" borderId="26" xfId="0" applyFont="1" applyFill="1" applyBorder="1" applyAlignment="1">
      <alignment horizontal="left" wrapText="1"/>
    </xf>
    <xf numFmtId="0" fontId="3" fillId="0" borderId="0" xfId="0" applyFont="1" applyFill="1" applyAlignment="1">
      <alignment vertical="center"/>
    </xf>
    <xf numFmtId="0" fontId="12" fillId="0" borderId="0" xfId="0" applyFont="1" applyFill="1" applyAlignment="1">
      <alignment horizontal="left" vertical="center" wrapText="1"/>
    </xf>
    <xf numFmtId="2" fontId="12" fillId="0" borderId="0" xfId="0" applyNumberFormat="1" applyFont="1" applyFill="1" applyBorder="1"/>
    <xf numFmtId="0" fontId="5" fillId="0" borderId="1" xfId="0" applyFont="1" applyFill="1" applyBorder="1" applyAlignment="1">
      <alignment horizontal="center" vertical="center"/>
    </xf>
    <xf numFmtId="0" fontId="20" fillId="0" borderId="0" xfId="0" applyFont="1" applyFill="1"/>
    <xf numFmtId="0" fontId="20" fillId="0" borderId="9" xfId="0" applyFont="1" applyFill="1" applyBorder="1"/>
    <xf numFmtId="164" fontId="20" fillId="0" borderId="9" xfId="0" applyNumberFormat="1" applyFont="1" applyFill="1" applyBorder="1"/>
    <xf numFmtId="2" fontId="20" fillId="0" borderId="9" xfId="0" applyNumberFormat="1" applyFont="1" applyFill="1" applyBorder="1"/>
    <xf numFmtId="0" fontId="21" fillId="0" borderId="0" xfId="0" applyFont="1" applyFill="1"/>
    <xf numFmtId="0" fontId="20" fillId="0" borderId="0" xfId="0" applyFont="1" applyFill="1" applyAlignment="1">
      <alignment horizontal="center" vertical="center"/>
    </xf>
    <xf numFmtId="2" fontId="22" fillId="0" borderId="0" xfId="0" applyNumberFormat="1" applyFont="1" applyFill="1"/>
    <xf numFmtId="0" fontId="22" fillId="0" borderId="0" xfId="0" applyFont="1" applyFill="1"/>
    <xf numFmtId="0" fontId="23" fillId="0" borderId="0" xfId="0" applyFont="1" applyFill="1" applyBorder="1" applyAlignment="1">
      <alignment horizontal="center" wrapText="1"/>
    </xf>
    <xf numFmtId="0" fontId="22" fillId="0" borderId="0" xfId="0" applyFont="1" applyFill="1" applyBorder="1"/>
    <xf numFmtId="0" fontId="22" fillId="0" borderId="0" xfId="0" applyFont="1" applyFill="1" applyBorder="1" applyAlignment="1">
      <alignment wrapText="1"/>
    </xf>
    <xf numFmtId="0" fontId="7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right"/>
    </xf>
    <xf numFmtId="0" fontId="13" fillId="0" borderId="0" xfId="0" applyFont="1" applyFill="1" applyAlignment="1">
      <alignment horizontal="left" vertical="center"/>
    </xf>
    <xf numFmtId="0" fontId="7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2" fontId="16" fillId="0" borderId="21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10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wrapText="1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 wrapText="1"/>
    </xf>
    <xf numFmtId="0" fontId="8" fillId="0" borderId="0" xfId="0" applyFont="1" applyFill="1" applyAlignment="1">
      <alignment horizontal="center" wrapText="1"/>
    </xf>
    <xf numFmtId="0" fontId="7" fillId="0" borderId="0" xfId="0" applyFont="1" applyFill="1" applyAlignment="1">
      <alignment horizontal="center"/>
    </xf>
    <xf numFmtId="2" fontId="20" fillId="0" borderId="0" xfId="0" applyNumberFormat="1" applyFont="1" applyFill="1"/>
    <xf numFmtId="0" fontId="23" fillId="0" borderId="0" xfId="0" applyFont="1" applyFill="1" applyAlignment="1">
      <alignment horizontal="center" vertical="center"/>
    </xf>
    <xf numFmtId="2" fontId="23" fillId="0" borderId="0" xfId="0" applyNumberFormat="1" applyFont="1" applyFill="1"/>
    <xf numFmtId="2" fontId="21" fillId="0" borderId="0" xfId="0" applyNumberFormat="1" applyFont="1" applyFill="1"/>
    <xf numFmtId="0" fontId="24" fillId="0" borderId="0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/>
    </xf>
    <xf numFmtId="2" fontId="22" fillId="0" borderId="0" xfId="0" applyNumberFormat="1" applyFont="1" applyFill="1" applyBorder="1"/>
    <xf numFmtId="0" fontId="20" fillId="0" borderId="0" xfId="0" applyFont="1" applyFill="1" applyBorder="1"/>
    <xf numFmtId="0" fontId="20" fillId="0" borderId="0" xfId="0" applyFont="1" applyFill="1" applyBorder="1" applyAlignment="1">
      <alignment horizontal="left" vertical="center"/>
    </xf>
    <xf numFmtId="0" fontId="20" fillId="0" borderId="0" xfId="0" applyFont="1" applyFill="1" applyBorder="1" applyAlignment="1">
      <alignment wrapText="1"/>
    </xf>
    <xf numFmtId="0" fontId="20" fillId="0" borderId="0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left" vertical="center" wrapText="1"/>
    </xf>
    <xf numFmtId="0" fontId="20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20" fillId="0" borderId="40" xfId="0" applyFont="1" applyFill="1" applyBorder="1" applyAlignment="1">
      <alignment horizontal="center" vertical="center" wrapText="1"/>
    </xf>
    <xf numFmtId="0" fontId="20" fillId="0" borderId="43" xfId="0" applyFont="1" applyFill="1" applyBorder="1" applyAlignment="1">
      <alignment horizontal="center" vertical="center" wrapText="1"/>
    </xf>
    <xf numFmtId="2" fontId="5" fillId="0" borderId="21" xfId="0" applyNumberFormat="1" applyFont="1" applyFill="1" applyBorder="1" applyAlignment="1">
      <alignment horizontal="center" vertical="center" wrapText="1"/>
    </xf>
    <xf numFmtId="2" fontId="5" fillId="0" borderId="2" xfId="0" applyNumberFormat="1" applyFont="1" applyFill="1" applyBorder="1" applyAlignment="1">
      <alignment horizontal="center" vertical="center" wrapText="1"/>
    </xf>
    <xf numFmtId="2" fontId="5" fillId="0" borderId="31" xfId="0" applyNumberFormat="1" applyFont="1" applyFill="1" applyBorder="1" applyAlignment="1">
      <alignment horizontal="center"/>
    </xf>
    <xf numFmtId="2" fontId="5" fillId="0" borderId="26" xfId="0" applyNumberFormat="1" applyFont="1" applyFill="1" applyBorder="1" applyAlignment="1">
      <alignment horizontal="center"/>
    </xf>
    <xf numFmtId="2" fontId="5" fillId="0" borderId="15" xfId="0" applyNumberFormat="1" applyFont="1" applyFill="1" applyBorder="1" applyAlignment="1">
      <alignment horizontal="center"/>
    </xf>
    <xf numFmtId="2" fontId="5" fillId="0" borderId="8" xfId="0" applyNumberFormat="1" applyFont="1" applyFill="1" applyBorder="1" applyAlignment="1">
      <alignment horizontal="center"/>
    </xf>
    <xf numFmtId="2" fontId="5" fillId="0" borderId="39" xfId="0" applyNumberFormat="1" applyFont="1" applyFill="1" applyBorder="1" applyAlignment="1">
      <alignment horizontal="center"/>
    </xf>
    <xf numFmtId="2" fontId="5" fillId="0" borderId="38" xfId="0" applyNumberFormat="1" applyFont="1" applyFill="1" applyBorder="1" applyAlignment="1">
      <alignment horizontal="center"/>
    </xf>
    <xf numFmtId="2" fontId="3" fillId="0" borderId="21" xfId="0" applyNumberFormat="1" applyFont="1" applyFill="1" applyBorder="1" applyAlignment="1">
      <alignment horizontal="center" wrapText="1"/>
    </xf>
    <xf numFmtId="2" fontId="3" fillId="0" borderId="2" xfId="0" applyNumberFormat="1" applyFont="1" applyFill="1" applyBorder="1" applyAlignment="1">
      <alignment horizontal="center" wrapText="1"/>
    </xf>
    <xf numFmtId="0" fontId="5" fillId="0" borderId="2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 shrinkToFit="1"/>
    </xf>
    <xf numFmtId="0" fontId="11" fillId="0" borderId="6" xfId="0" applyFont="1" applyFill="1" applyBorder="1" applyAlignment="1">
      <alignment horizontal="center" vertical="center" wrapText="1" shrinkToFit="1"/>
    </xf>
    <xf numFmtId="0" fontId="4" fillId="0" borderId="27" xfId="0" applyFont="1" applyFill="1" applyBorder="1" applyAlignment="1">
      <alignment horizontal="center"/>
    </xf>
    <xf numFmtId="2" fontId="5" fillId="0" borderId="19" xfId="0" applyNumberFormat="1" applyFont="1" applyFill="1" applyBorder="1" applyAlignment="1">
      <alignment horizontal="center"/>
    </xf>
    <xf numFmtId="2" fontId="5" fillId="0" borderId="25" xfId="0" applyNumberFormat="1" applyFont="1" applyFill="1" applyBorder="1" applyAlignment="1">
      <alignment horizontal="center"/>
    </xf>
    <xf numFmtId="0" fontId="5" fillId="0" borderId="22" xfId="0" applyFont="1" applyFill="1" applyBorder="1" applyAlignment="1">
      <alignment horizontal="center" vertical="center" wrapText="1"/>
    </xf>
    <xf numFmtId="2" fontId="5" fillId="0" borderId="24" xfId="0" applyNumberFormat="1" applyFont="1" applyFill="1" applyBorder="1" applyAlignment="1">
      <alignment horizontal="center"/>
    </xf>
    <xf numFmtId="2" fontId="3" fillId="0" borderId="21" xfId="0" applyNumberFormat="1" applyFont="1" applyFill="1" applyBorder="1" applyAlignment="1">
      <alignment horizontal="center"/>
    </xf>
    <xf numFmtId="2" fontId="3" fillId="0" borderId="2" xfId="0" applyNumberFormat="1" applyFont="1" applyFill="1" applyBorder="1" applyAlignment="1">
      <alignment horizontal="center"/>
    </xf>
    <xf numFmtId="2" fontId="3" fillId="0" borderId="22" xfId="0" applyNumberFormat="1" applyFont="1" applyFill="1" applyBorder="1" applyAlignment="1">
      <alignment horizontal="center"/>
    </xf>
    <xf numFmtId="0" fontId="7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  <xf numFmtId="166" fontId="3" fillId="0" borderId="21" xfId="0" applyNumberFormat="1" applyFont="1" applyFill="1" applyBorder="1" applyAlignment="1">
      <alignment horizontal="center"/>
    </xf>
    <xf numFmtId="166" fontId="3" fillId="0" borderId="22" xfId="0" applyNumberFormat="1" applyFont="1" applyFill="1" applyBorder="1" applyAlignment="1">
      <alignment horizontal="center"/>
    </xf>
    <xf numFmtId="0" fontId="5" fillId="0" borderId="0" xfId="0" applyFont="1" applyFill="1" applyAlignment="1">
      <alignment horizontal="right"/>
    </xf>
    <xf numFmtId="0" fontId="8" fillId="0" borderId="0" xfId="0" applyFont="1" applyFill="1" applyAlignment="1">
      <alignment horizontal="center" wrapText="1"/>
    </xf>
    <xf numFmtId="0" fontId="11" fillId="0" borderId="34" xfId="0" applyFont="1" applyFill="1" applyBorder="1" applyAlignment="1">
      <alignment horizontal="center" vertical="center" wrapText="1"/>
    </xf>
    <xf numFmtId="0" fontId="11" fillId="0" borderId="35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 shrinkToFit="1"/>
    </xf>
    <xf numFmtId="0" fontId="11" fillId="0" borderId="13" xfId="0" applyFont="1" applyFill="1" applyBorder="1" applyAlignment="1">
      <alignment horizontal="center" vertical="center" wrapText="1" shrinkToFit="1"/>
    </xf>
    <xf numFmtId="0" fontId="11" fillId="0" borderId="3" xfId="0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 wrapText="1"/>
    </xf>
    <xf numFmtId="0" fontId="4" fillId="0" borderId="27" xfId="0" applyFont="1" applyFill="1" applyBorder="1" applyAlignment="1">
      <alignment horizontal="center" wrapText="1" shrinkToFit="1"/>
    </xf>
    <xf numFmtId="2" fontId="11" fillId="0" borderId="36" xfId="0" applyNumberFormat="1" applyFont="1" applyFill="1" applyBorder="1" applyAlignment="1">
      <alignment horizontal="center" vertical="center" wrapText="1"/>
    </xf>
    <xf numFmtId="2" fontId="11" fillId="0" borderId="37" xfId="0" applyNumberFormat="1" applyFont="1" applyFill="1" applyBorder="1" applyAlignment="1">
      <alignment horizontal="center" vertical="center" wrapText="1"/>
    </xf>
    <xf numFmtId="2" fontId="5" fillId="0" borderId="18" xfId="0" applyNumberFormat="1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5" fillId="0" borderId="8" xfId="0" applyFont="1" applyFill="1" applyBorder="1" applyAlignment="1">
      <alignment horizontal="center"/>
    </xf>
    <xf numFmtId="2" fontId="5" fillId="0" borderId="16" xfId="0" applyNumberFormat="1" applyFont="1" applyFill="1" applyBorder="1" applyAlignment="1">
      <alignment horizontal="center"/>
    </xf>
    <xf numFmtId="0" fontId="5" fillId="0" borderId="12" xfId="0" applyFont="1" applyFill="1" applyBorder="1" applyAlignment="1">
      <alignment horizontal="center"/>
    </xf>
    <xf numFmtId="2" fontId="5" fillId="0" borderId="4" xfId="0" applyNumberFormat="1" applyFont="1" applyFill="1" applyBorder="1" applyAlignment="1">
      <alignment horizontal="center"/>
    </xf>
    <xf numFmtId="2" fontId="5" fillId="0" borderId="32" xfId="0" applyNumberFormat="1" applyFont="1" applyFill="1" applyBorder="1" applyAlignment="1">
      <alignment horizontal="center"/>
    </xf>
    <xf numFmtId="0" fontId="5" fillId="0" borderId="0" xfId="0" applyFont="1" applyFill="1" applyAlignment="1">
      <alignment horizontal="left" vertical="center"/>
    </xf>
    <xf numFmtId="2" fontId="5" fillId="0" borderId="20" xfId="0" applyNumberFormat="1" applyFont="1" applyFill="1" applyBorder="1" applyAlignment="1">
      <alignment horizontal="center"/>
    </xf>
    <xf numFmtId="2" fontId="5" fillId="0" borderId="12" xfId="0" applyNumberFormat="1" applyFont="1" applyFill="1" applyBorder="1" applyAlignment="1">
      <alignment horizontal="center"/>
    </xf>
    <xf numFmtId="0" fontId="0" fillId="0" borderId="12" xfId="0" applyFill="1" applyBorder="1"/>
    <xf numFmtId="0" fontId="0" fillId="0" borderId="2" xfId="0" applyFill="1" applyBorder="1"/>
    <xf numFmtId="0" fontId="19" fillId="0" borderId="43" xfId="0" applyFont="1" applyFill="1" applyBorder="1"/>
    <xf numFmtId="0" fontId="0" fillId="0" borderId="4" xfId="0" applyFill="1" applyBorder="1"/>
    <xf numFmtId="0" fontId="0" fillId="0" borderId="8" xfId="0" applyFill="1" applyBorder="1"/>
    <xf numFmtId="0" fontId="9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left" vertical="center"/>
    </xf>
    <xf numFmtId="0" fontId="20" fillId="0" borderId="0" xfId="0" applyFont="1" applyFill="1" applyBorder="1" applyAlignment="1">
      <alignment horizontal="left" vertical="center" wrapText="1"/>
    </xf>
    <xf numFmtId="0" fontId="0" fillId="0" borderId="20" xfId="0" applyFill="1" applyBorder="1"/>
    <xf numFmtId="0" fontId="0" fillId="0" borderId="32" xfId="0" applyFill="1" applyBorder="1"/>
    <xf numFmtId="0" fontId="0" fillId="0" borderId="19" xfId="0" applyFill="1" applyBorder="1"/>
    <xf numFmtId="0" fontId="0" fillId="0" borderId="22" xfId="0" applyFill="1" applyBorder="1"/>
    <xf numFmtId="0" fontId="3" fillId="0" borderId="0" xfId="0" applyFont="1" applyFill="1" applyBorder="1" applyAlignment="1">
      <alignment horizontal="center" wrapText="1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 wrapText="1"/>
    </xf>
    <xf numFmtId="0" fontId="13" fillId="0" borderId="0" xfId="0" applyFont="1" applyFill="1" applyAlignment="1">
      <alignment horizontal="right"/>
    </xf>
    <xf numFmtId="0" fontId="13" fillId="0" borderId="0" xfId="0" applyFont="1" applyFill="1" applyAlignment="1">
      <alignment horizontal="left" vertical="center"/>
    </xf>
    <xf numFmtId="0" fontId="0" fillId="0" borderId="43" xfId="0" applyFill="1" applyBorder="1"/>
    <xf numFmtId="0" fontId="3" fillId="0" borderId="28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/>
    </xf>
    <xf numFmtId="0" fontId="3" fillId="0" borderId="28" xfId="0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tabColor rgb="FF0070C0"/>
    <pageSetUpPr fitToPage="1"/>
  </sheetPr>
  <dimension ref="A1:Q57"/>
  <sheetViews>
    <sheetView zoomScale="110" zoomScaleNormal="110" workbookViewId="0">
      <selection activeCell="B24" sqref="B24:B25"/>
    </sheetView>
  </sheetViews>
  <sheetFormatPr defaultColWidth="9.140625" defaultRowHeight="15.75" outlineLevelRow="1"/>
  <cols>
    <col min="1" max="1" width="2.85546875" style="1" customWidth="1"/>
    <col min="2" max="2" width="56" style="1" customWidth="1"/>
    <col min="3" max="3" width="14.7109375" style="1" customWidth="1"/>
    <col min="4" max="4" width="8.28515625" style="1" customWidth="1"/>
    <col min="5" max="5" width="9.42578125" style="14" customWidth="1"/>
    <col min="6" max="6" width="9.7109375" style="3" customWidth="1"/>
    <col min="7" max="7" width="10.28515625" style="3" customWidth="1"/>
    <col min="8" max="8" width="10.5703125" style="3" customWidth="1"/>
    <col min="9" max="9" width="17.42578125" style="1" customWidth="1"/>
    <col min="10" max="10" width="15.42578125" style="1" customWidth="1"/>
    <col min="11" max="11" width="11.140625" style="1" customWidth="1"/>
    <col min="12" max="12" width="11.85546875" style="1" customWidth="1"/>
    <col min="13" max="13" width="20.28515625" style="182" customWidth="1"/>
    <col min="14" max="14" width="21" style="182" customWidth="1"/>
    <col min="15" max="16" width="11.85546875" style="1" customWidth="1"/>
    <col min="17" max="16384" width="9.140625" style="1"/>
  </cols>
  <sheetData>
    <row r="1" spans="1:12">
      <c r="B1" s="255" t="s">
        <v>119</v>
      </c>
      <c r="C1" s="255"/>
      <c r="D1" s="255"/>
      <c r="E1" s="255"/>
      <c r="F1" s="255"/>
      <c r="G1" s="255"/>
      <c r="H1" s="255"/>
    </row>
    <row r="2" spans="1:12">
      <c r="B2" s="255" t="s">
        <v>120</v>
      </c>
      <c r="C2" s="255"/>
      <c r="D2" s="255"/>
      <c r="E2" s="255"/>
      <c r="F2" s="255"/>
      <c r="G2" s="255"/>
      <c r="H2" s="255"/>
    </row>
    <row r="3" spans="1:12">
      <c r="B3" s="255" t="s">
        <v>152</v>
      </c>
      <c r="C3" s="255"/>
      <c r="D3" s="255"/>
      <c r="E3" s="255"/>
      <c r="F3" s="255"/>
      <c r="G3" s="255"/>
      <c r="H3" s="255"/>
    </row>
    <row r="4" spans="1:12">
      <c r="B4" s="255" t="s">
        <v>183</v>
      </c>
      <c r="C4" s="255"/>
      <c r="D4" s="255"/>
      <c r="E4" s="255"/>
      <c r="F4" s="255"/>
      <c r="G4" s="255"/>
      <c r="H4" s="255"/>
    </row>
    <row r="5" spans="1:12" ht="15.75" customHeight="1">
      <c r="A5" s="210"/>
      <c r="B5" s="256" t="s">
        <v>177</v>
      </c>
      <c r="C5" s="256"/>
      <c r="D5" s="256"/>
      <c r="E5" s="256"/>
      <c r="F5" s="256"/>
      <c r="G5" s="256"/>
      <c r="H5" s="256"/>
      <c r="I5" s="13"/>
      <c r="J5" s="13"/>
      <c r="K5" s="13"/>
    </row>
    <row r="6" spans="1:12" ht="21" customHeight="1">
      <c r="A6" s="210"/>
      <c r="B6" s="256"/>
      <c r="C6" s="256"/>
      <c r="D6" s="256"/>
      <c r="E6" s="256"/>
      <c r="F6" s="256"/>
      <c r="G6" s="256"/>
      <c r="H6" s="256"/>
      <c r="I6" s="13"/>
      <c r="J6" s="13"/>
      <c r="K6" s="13"/>
    </row>
    <row r="7" spans="1:12" ht="9.75" customHeight="1"/>
    <row r="8" spans="1:12" ht="14.25" customHeight="1">
      <c r="B8" s="164" t="s">
        <v>0</v>
      </c>
      <c r="C8" s="164"/>
      <c r="D8" s="164"/>
      <c r="E8" s="165"/>
      <c r="F8" s="263" t="s">
        <v>13</v>
      </c>
      <c r="G8" s="263"/>
      <c r="H8" s="263"/>
    </row>
    <row r="9" spans="1:12" ht="12" customHeight="1">
      <c r="B9" s="164" t="s">
        <v>1</v>
      </c>
      <c r="C9" s="164"/>
      <c r="D9" s="164"/>
      <c r="E9" s="165"/>
      <c r="F9" s="203">
        <v>1972</v>
      </c>
      <c r="G9" s="203"/>
      <c r="H9" s="203"/>
    </row>
    <row r="10" spans="1:12" hidden="1" outlineLevel="1">
      <c r="B10" s="164" t="s">
        <v>2</v>
      </c>
      <c r="C10" s="164"/>
      <c r="D10" s="164"/>
      <c r="E10" s="165"/>
      <c r="F10" s="203">
        <v>4</v>
      </c>
      <c r="G10" s="203"/>
      <c r="H10" s="203"/>
    </row>
    <row r="11" spans="1:12" hidden="1" outlineLevel="1">
      <c r="B11" s="164" t="s">
        <v>3</v>
      </c>
      <c r="C11" s="164"/>
      <c r="D11" s="164"/>
      <c r="E11" s="165"/>
      <c r="F11" s="203">
        <v>63</v>
      </c>
      <c r="G11" s="203"/>
      <c r="H11" s="203"/>
    </row>
    <row r="12" spans="1:12" ht="30.75" hidden="1" customHeight="1" outlineLevel="1">
      <c r="B12" s="166" t="s">
        <v>4</v>
      </c>
      <c r="C12" s="166"/>
      <c r="D12" s="166"/>
      <c r="E12" s="167"/>
      <c r="F12" s="203" t="s">
        <v>14</v>
      </c>
      <c r="G12" s="203"/>
      <c r="H12" s="203"/>
    </row>
    <row r="13" spans="1:12" ht="14.25" customHeight="1" collapsed="1">
      <c r="B13" s="164" t="s">
        <v>5</v>
      </c>
      <c r="C13" s="164"/>
      <c r="D13" s="164"/>
      <c r="E13" s="165"/>
      <c r="F13" s="203" t="s">
        <v>123</v>
      </c>
      <c r="G13" s="203"/>
      <c r="H13" s="203"/>
      <c r="L13" s="5"/>
    </row>
    <row r="14" spans="1:12" hidden="1" outlineLevel="1">
      <c r="B14" s="1" t="s">
        <v>6</v>
      </c>
      <c r="F14" s="157" t="s">
        <v>7</v>
      </c>
      <c r="G14" s="157"/>
      <c r="H14" s="157"/>
    </row>
    <row r="15" spans="1:12" ht="30.75" hidden="1" customHeight="1" outlineLevel="1">
      <c r="B15" s="15" t="s">
        <v>8</v>
      </c>
      <c r="C15" s="15"/>
      <c r="D15" s="15"/>
      <c r="E15" s="16"/>
      <c r="F15" s="264" t="s">
        <v>15</v>
      </c>
      <c r="G15" s="264"/>
      <c r="H15" s="157"/>
      <c r="L15" s="5"/>
    </row>
    <row r="16" spans="1:12" ht="18" customHeight="1" collapsed="1" thickBot="1">
      <c r="B16" s="242" t="s">
        <v>176</v>
      </c>
      <c r="C16" s="242"/>
      <c r="D16" s="242"/>
      <c r="E16" s="242"/>
      <c r="F16" s="242"/>
      <c r="G16" s="242"/>
      <c r="H16" s="242"/>
      <c r="L16" s="5"/>
    </row>
    <row r="17" spans="2:14" ht="43.5" customHeight="1" thickBot="1">
      <c r="B17" s="181" t="s">
        <v>178</v>
      </c>
      <c r="C17" s="228" t="s">
        <v>101</v>
      </c>
      <c r="D17" s="229"/>
      <c r="E17" s="238" t="s">
        <v>9</v>
      </c>
      <c r="F17" s="239"/>
      <c r="G17" s="238" t="s">
        <v>10</v>
      </c>
      <c r="H17" s="245"/>
      <c r="L17" s="5"/>
    </row>
    <row r="18" spans="2:14" ht="15" customHeight="1">
      <c r="B18" s="151" t="s">
        <v>11</v>
      </c>
      <c r="C18" s="268">
        <v>4548761.3900000006</v>
      </c>
      <c r="D18" s="269"/>
      <c r="E18" s="230">
        <v>3220574.4000000004</v>
      </c>
      <c r="F18" s="231"/>
      <c r="G18" s="230">
        <v>1328186.99</v>
      </c>
      <c r="H18" s="246"/>
      <c r="L18" s="5"/>
    </row>
    <row r="19" spans="2:14" ht="14.25" customHeight="1">
      <c r="B19" s="152" t="s">
        <v>12</v>
      </c>
      <c r="C19" s="232">
        <v>4290695.8800000008</v>
      </c>
      <c r="D19" s="270"/>
      <c r="E19" s="232">
        <v>3041796.5400000005</v>
      </c>
      <c r="F19" s="233"/>
      <c r="G19" s="232">
        <v>1248899.3400000001</v>
      </c>
      <c r="H19" s="243"/>
      <c r="L19" s="5"/>
    </row>
    <row r="20" spans="2:14" ht="15.75" customHeight="1" thickBot="1">
      <c r="B20" s="153" t="s">
        <v>88</v>
      </c>
      <c r="C20" s="271">
        <v>4486269.4080499988</v>
      </c>
      <c r="D20" s="272"/>
      <c r="E20" s="234">
        <v>3259387.4080499993</v>
      </c>
      <c r="F20" s="235"/>
      <c r="G20" s="234">
        <v>1226882</v>
      </c>
      <c r="H20" s="244"/>
      <c r="L20" s="5"/>
    </row>
    <row r="21" spans="2:14" ht="30" customHeight="1" thickBot="1">
      <c r="B21" s="154" t="s">
        <v>146</v>
      </c>
      <c r="C21" s="236">
        <f>C19-C20</f>
        <v>-195573.52804999799</v>
      </c>
      <c r="D21" s="237"/>
      <c r="E21" s="247">
        <f>E19-E20</f>
        <v>-217590.86804999877</v>
      </c>
      <c r="F21" s="248"/>
      <c r="G21" s="247">
        <f>G19-G20</f>
        <v>22017.340000000084</v>
      </c>
      <c r="H21" s="249"/>
      <c r="L21" s="5"/>
    </row>
    <row r="22" spans="2:14" ht="11.25" customHeight="1">
      <c r="B22" s="15"/>
      <c r="C22" s="15"/>
      <c r="D22" s="15"/>
      <c r="E22" s="16"/>
      <c r="F22" s="204"/>
      <c r="G22" s="204"/>
      <c r="H22" s="157"/>
      <c r="L22" s="5"/>
    </row>
    <row r="23" spans="2:14" ht="29.25" customHeight="1" thickBot="1">
      <c r="B23" s="265" t="s">
        <v>179</v>
      </c>
      <c r="C23" s="265"/>
      <c r="D23" s="265"/>
      <c r="E23" s="265"/>
      <c r="F23" s="265"/>
      <c r="G23" s="265"/>
      <c r="H23" s="265"/>
      <c r="L23" s="5"/>
      <c r="M23" s="226" t="s">
        <v>148</v>
      </c>
      <c r="N23" s="226" t="s">
        <v>149</v>
      </c>
    </row>
    <row r="24" spans="2:14" ht="34.5" customHeight="1">
      <c r="B24" s="261" t="s">
        <v>94</v>
      </c>
      <c r="C24" s="259" t="s">
        <v>95</v>
      </c>
      <c r="D24" s="259" t="s">
        <v>116</v>
      </c>
      <c r="E24" s="266" t="s">
        <v>180</v>
      </c>
      <c r="F24" s="240" t="s">
        <v>96</v>
      </c>
      <c r="G24" s="241"/>
      <c r="H24" s="257" t="s">
        <v>122</v>
      </c>
      <c r="L24" s="5"/>
      <c r="M24" s="227"/>
      <c r="N24" s="227"/>
    </row>
    <row r="25" spans="2:14" ht="42" customHeight="1" thickBot="1">
      <c r="B25" s="262"/>
      <c r="C25" s="260"/>
      <c r="D25" s="260"/>
      <c r="E25" s="267"/>
      <c r="F25" s="17" t="s">
        <v>81</v>
      </c>
      <c r="G25" s="18" t="s">
        <v>82</v>
      </c>
      <c r="H25" s="258"/>
      <c r="M25" s="183">
        <v>340068.91</v>
      </c>
      <c r="N25" s="184">
        <f>M25*1.05</f>
        <v>357072.35550000001</v>
      </c>
    </row>
    <row r="26" spans="2:14" s="199" customFormat="1" ht="42" customHeight="1">
      <c r="B26" s="19" t="s">
        <v>86</v>
      </c>
      <c r="C26" s="20" t="s">
        <v>97</v>
      </c>
      <c r="D26" s="21" t="s">
        <v>98</v>
      </c>
      <c r="E26" s="22">
        <v>1.06</v>
      </c>
      <c r="F26" s="23">
        <f t="shared" ref="F26:F32" si="0">$M$25/$M$26*E26</f>
        <v>32271.534879140552</v>
      </c>
      <c r="G26" s="24">
        <f t="shared" ref="G26:G32" si="1">$N$25/$N$26*E26</f>
        <v>33885.111623097589</v>
      </c>
      <c r="H26" s="25">
        <f>F26-G26</f>
        <v>-1613.5767439570373</v>
      </c>
      <c r="I26" s="26"/>
      <c r="L26" s="27"/>
      <c r="M26" s="185">
        <f>E36-E34</f>
        <v>11.17</v>
      </c>
      <c r="N26" s="185">
        <f>E36-E34</f>
        <v>11.17</v>
      </c>
    </row>
    <row r="27" spans="2:14" s="2" customFormat="1" ht="51">
      <c r="B27" s="28" t="s">
        <v>117</v>
      </c>
      <c r="C27" s="20" t="s">
        <v>97</v>
      </c>
      <c r="D27" s="21" t="s">
        <v>98</v>
      </c>
      <c r="E27" s="29">
        <v>1.19</v>
      </c>
      <c r="F27" s="23">
        <f t="shared" si="0"/>
        <v>36229.364628469106</v>
      </c>
      <c r="G27" s="24">
        <f t="shared" si="1"/>
        <v>38040.832859892573</v>
      </c>
      <c r="H27" s="25">
        <f t="shared" ref="H27:H33" si="2">F27-G27</f>
        <v>-1811.4682314234669</v>
      </c>
      <c r="I27" s="31"/>
      <c r="M27" s="186"/>
      <c r="N27" s="186"/>
    </row>
    <row r="28" spans="2:14" ht="28.5" customHeight="1">
      <c r="B28" s="32" t="s">
        <v>83</v>
      </c>
      <c r="C28" s="20" t="s">
        <v>97</v>
      </c>
      <c r="D28" s="21" t="s">
        <v>98</v>
      </c>
      <c r="E28" s="29">
        <v>0.32</v>
      </c>
      <c r="F28" s="23">
        <f t="shared" si="0"/>
        <v>9742.350152193374</v>
      </c>
      <c r="G28" s="24">
        <f t="shared" si="1"/>
        <v>10229.467659803046</v>
      </c>
      <c r="H28" s="25">
        <f t="shared" si="2"/>
        <v>-487.11750760967152</v>
      </c>
      <c r="I28" s="33"/>
      <c r="L28" s="5"/>
    </row>
    <row r="29" spans="2:14" ht="25.5">
      <c r="B29" s="32" t="s">
        <v>84</v>
      </c>
      <c r="C29" s="34" t="s">
        <v>99</v>
      </c>
      <c r="D29" s="21" t="s">
        <v>98</v>
      </c>
      <c r="E29" s="29">
        <v>0.33</v>
      </c>
      <c r="F29" s="23">
        <f t="shared" si="0"/>
        <v>10046.798594449418</v>
      </c>
      <c r="G29" s="24">
        <f t="shared" si="1"/>
        <v>10549.138524171891</v>
      </c>
      <c r="H29" s="25">
        <f t="shared" si="2"/>
        <v>-502.33992972247324</v>
      </c>
      <c r="I29" s="33"/>
      <c r="L29" s="5"/>
    </row>
    <row r="30" spans="2:14" hidden="1">
      <c r="B30" s="32" t="s">
        <v>172</v>
      </c>
      <c r="C30" s="177" t="s">
        <v>173</v>
      </c>
      <c r="D30" s="21" t="s">
        <v>98</v>
      </c>
      <c r="E30" s="29"/>
      <c r="F30" s="23"/>
      <c r="G30" s="24"/>
      <c r="H30" s="25">
        <f t="shared" si="2"/>
        <v>0</v>
      </c>
      <c r="I30" s="33"/>
      <c r="L30" s="5"/>
    </row>
    <row r="31" spans="2:14" ht="51">
      <c r="B31" s="28" t="s">
        <v>87</v>
      </c>
      <c r="C31" s="20" t="s">
        <v>137</v>
      </c>
      <c r="D31" s="21" t="s">
        <v>98</v>
      </c>
      <c r="E31" s="29">
        <v>1.18</v>
      </c>
      <c r="F31" s="23">
        <f t="shared" si="0"/>
        <v>35924.916186213064</v>
      </c>
      <c r="G31" s="24">
        <f t="shared" si="1"/>
        <v>37721.161995523726</v>
      </c>
      <c r="H31" s="25">
        <f t="shared" si="2"/>
        <v>-1796.2458093106616</v>
      </c>
      <c r="I31" s="33"/>
    </row>
    <row r="32" spans="2:14" s="2" customFormat="1" ht="210" customHeight="1">
      <c r="B32" s="28" t="s">
        <v>138</v>
      </c>
      <c r="C32" s="20" t="s">
        <v>100</v>
      </c>
      <c r="D32" s="21" t="s">
        <v>98</v>
      </c>
      <c r="E32" s="29">
        <v>5.61</v>
      </c>
      <c r="F32" s="23">
        <f t="shared" si="0"/>
        <v>170795.5761056401</v>
      </c>
      <c r="G32" s="24">
        <f t="shared" si="1"/>
        <v>179335.35491092212</v>
      </c>
      <c r="H32" s="25">
        <f t="shared" si="2"/>
        <v>-8539.7788052820251</v>
      </c>
      <c r="I32" s="31"/>
      <c r="L32" s="4"/>
      <c r="M32" s="186"/>
      <c r="N32" s="186"/>
    </row>
    <row r="33" spans="2:17" ht="108" customHeight="1">
      <c r="B33" s="28" t="s">
        <v>102</v>
      </c>
      <c r="C33" s="20" t="s">
        <v>97</v>
      </c>
      <c r="D33" s="21" t="s">
        <v>98</v>
      </c>
      <c r="E33" s="29">
        <v>0.24</v>
      </c>
      <c r="F33" s="23">
        <f>$M$25/$M$26*E33</f>
        <v>7306.7626141450301</v>
      </c>
      <c r="G33" s="24">
        <f>$N$25/$N$26*E33</f>
        <v>7672.1007448522832</v>
      </c>
      <c r="H33" s="25">
        <f t="shared" si="2"/>
        <v>-365.33813070725319</v>
      </c>
      <c r="I33" s="33"/>
    </row>
    <row r="34" spans="2:17" ht="34.5" customHeight="1">
      <c r="B34" s="32" t="s">
        <v>91</v>
      </c>
      <c r="C34" s="20" t="s">
        <v>97</v>
      </c>
      <c r="D34" s="21" t="s">
        <v>98</v>
      </c>
      <c r="E34" s="29">
        <v>5.08</v>
      </c>
      <c r="F34" s="23">
        <v>157002.63</v>
      </c>
      <c r="G34" s="30">
        <v>102396</v>
      </c>
      <c r="H34" s="25">
        <f>F34-G34</f>
        <v>54606.630000000005</v>
      </c>
      <c r="I34" s="33"/>
      <c r="L34" s="5"/>
    </row>
    <row r="35" spans="2:17" ht="16.5" thickBot="1">
      <c r="B35" s="35" t="s">
        <v>85</v>
      </c>
      <c r="C35" s="36" t="s">
        <v>100</v>
      </c>
      <c r="D35" s="37" t="s">
        <v>98</v>
      </c>
      <c r="E35" s="38">
        <v>1.24</v>
      </c>
      <c r="F35" s="23">
        <f>$M$25/$M$26*E35</f>
        <v>37751.606839749322</v>
      </c>
      <c r="G35" s="24">
        <f>$N$25/$N$26*E35</f>
        <v>39639.187181736794</v>
      </c>
      <c r="H35" s="25">
        <f>F35-G35</f>
        <v>-1887.5803419874719</v>
      </c>
      <c r="I35" s="33"/>
    </row>
    <row r="36" spans="2:17" ht="16.5" thickBot="1">
      <c r="B36" s="39" t="s">
        <v>89</v>
      </c>
      <c r="C36" s="40"/>
      <c r="D36" s="40"/>
      <c r="E36" s="41">
        <f>SUM(E26:E35)</f>
        <v>16.25</v>
      </c>
      <c r="F36" s="42">
        <f>SUM(F26:F35)</f>
        <v>497071.53999999992</v>
      </c>
      <c r="G36" s="43">
        <f>SUM(G26:G35)</f>
        <v>459468.35550000001</v>
      </c>
      <c r="H36" s="44">
        <f>SUM(H26:H35)</f>
        <v>37603.184499999945</v>
      </c>
      <c r="I36" s="65"/>
    </row>
    <row r="37" spans="2:17" ht="12" customHeight="1">
      <c r="B37" s="5"/>
      <c r="C37" s="5"/>
      <c r="D37" s="5"/>
      <c r="G37" s="14"/>
    </row>
    <row r="38" spans="2:17" ht="15" customHeight="1" thickBot="1">
      <c r="B38" s="242" t="s">
        <v>181</v>
      </c>
      <c r="C38" s="242"/>
      <c r="D38" s="242"/>
      <c r="E38" s="242"/>
      <c r="F38" s="242"/>
      <c r="G38" s="242"/>
      <c r="H38" s="242"/>
      <c r="I38" s="145"/>
      <c r="J38" s="45"/>
    </row>
    <row r="39" spans="2:17" s="3" customFormat="1" ht="45" customHeight="1" thickBot="1">
      <c r="B39" s="181" t="s">
        <v>182</v>
      </c>
      <c r="C39" s="228" t="s">
        <v>101</v>
      </c>
      <c r="D39" s="229"/>
      <c r="E39" s="238" t="s">
        <v>9</v>
      </c>
      <c r="F39" s="239"/>
      <c r="G39" s="238" t="s">
        <v>10</v>
      </c>
      <c r="H39" s="245"/>
      <c r="I39" s="158"/>
      <c r="J39" s="159"/>
      <c r="K39" s="46"/>
      <c r="L39" s="47"/>
      <c r="M39" s="187"/>
      <c r="N39" s="187"/>
    </row>
    <row r="40" spans="2:17">
      <c r="B40" s="151" t="s">
        <v>11</v>
      </c>
      <c r="C40" s="230">
        <f>E40+G40</f>
        <v>5045832.9300000006</v>
      </c>
      <c r="D40" s="231"/>
      <c r="E40" s="230">
        <f>F26+F27+F28+F29+F31+F32+F33+F35+E18</f>
        <v>3560643.3100000005</v>
      </c>
      <c r="F40" s="231"/>
      <c r="G40" s="230">
        <f>F34+G18</f>
        <v>1485189.62</v>
      </c>
      <c r="H40" s="246"/>
      <c r="I40" s="160"/>
      <c r="J40" s="161"/>
      <c r="K40" s="49"/>
      <c r="L40" s="49"/>
      <c r="M40" s="188"/>
    </row>
    <row r="41" spans="2:17">
      <c r="B41" s="152" t="s">
        <v>12</v>
      </c>
      <c r="C41" s="232">
        <f>E41+G41</f>
        <v>4734532.8000000007</v>
      </c>
      <c r="D41" s="233"/>
      <c r="E41" s="232">
        <f>E19+303780.57</f>
        <v>3345577.1100000003</v>
      </c>
      <c r="F41" s="233"/>
      <c r="G41" s="232">
        <f>G19+140056.35</f>
        <v>1388955.6900000002</v>
      </c>
      <c r="H41" s="243"/>
      <c r="I41" s="160"/>
      <c r="J41" s="162"/>
      <c r="K41" s="51"/>
      <c r="L41" s="49"/>
      <c r="M41" s="188"/>
    </row>
    <row r="42" spans="2:17" ht="16.5" thickBot="1">
      <c r="B42" s="153" t="s">
        <v>88</v>
      </c>
      <c r="C42" s="234">
        <f>E42+G42</f>
        <v>4945737.7635499993</v>
      </c>
      <c r="D42" s="235"/>
      <c r="E42" s="234">
        <f>G26+G27+G28+G29+G31+G32+G33+G35+E20</f>
        <v>3616459.7635499993</v>
      </c>
      <c r="F42" s="235"/>
      <c r="G42" s="234">
        <f>G34+G20</f>
        <v>1329278</v>
      </c>
      <c r="H42" s="244"/>
      <c r="I42" s="160"/>
      <c r="J42" s="48"/>
      <c r="K42" s="33"/>
      <c r="L42" s="33"/>
    </row>
    <row r="43" spans="2:17" ht="27.75" customHeight="1" thickBot="1">
      <c r="B43" s="154" t="s">
        <v>147</v>
      </c>
      <c r="C43" s="236">
        <f>E43+G43</f>
        <v>-211204.96354999882</v>
      </c>
      <c r="D43" s="237"/>
      <c r="E43" s="247">
        <f>E41-E42</f>
        <v>-270882.653549999</v>
      </c>
      <c r="F43" s="248"/>
      <c r="G43" s="253">
        <f>G41-G42</f>
        <v>59677.690000000177</v>
      </c>
      <c r="H43" s="254"/>
      <c r="I43" s="163"/>
      <c r="J43" s="148"/>
      <c r="K43" s="33"/>
      <c r="L43" s="33"/>
    </row>
    <row r="44" spans="2:17" ht="11.25" customHeight="1">
      <c r="B44" s="76"/>
      <c r="C44" s="146"/>
      <c r="D44" s="146"/>
      <c r="E44" s="147"/>
      <c r="F44" s="148"/>
      <c r="G44" s="148"/>
      <c r="H44" s="148"/>
      <c r="I44" s="50"/>
      <c r="J44" s="48"/>
      <c r="K44" s="33"/>
      <c r="L44" s="33"/>
    </row>
    <row r="45" spans="2:17" s="2" customFormat="1" ht="16.5" customHeight="1">
      <c r="B45" s="52" t="s">
        <v>77</v>
      </c>
      <c r="C45" s="225" t="s">
        <v>150</v>
      </c>
      <c r="D45" s="225"/>
      <c r="E45" s="225"/>
      <c r="F45" s="251" t="s">
        <v>174</v>
      </c>
      <c r="G45" s="251"/>
      <c r="H45" s="52"/>
      <c r="I45" s="52"/>
      <c r="M45" s="186"/>
      <c r="N45" s="186"/>
      <c r="O45" s="1"/>
      <c r="Q45" s="1"/>
    </row>
    <row r="46" spans="2:17" s="2" customFormat="1" ht="9" customHeight="1">
      <c r="B46" s="52"/>
      <c r="C46" s="53"/>
      <c r="D46" s="53"/>
      <c r="E46" s="211"/>
      <c r="F46" s="252"/>
      <c r="G46" s="252"/>
      <c r="H46" s="52"/>
      <c r="I46" s="52"/>
      <c r="M46" s="186"/>
      <c r="N46" s="186"/>
    </row>
    <row r="47" spans="2:17" s="2" customFormat="1" ht="15.75" customHeight="1">
      <c r="B47" s="52" t="s">
        <v>78</v>
      </c>
      <c r="C47" s="225" t="s">
        <v>150</v>
      </c>
      <c r="D47" s="225"/>
      <c r="E47" s="225"/>
      <c r="F47" s="251" t="s">
        <v>93</v>
      </c>
      <c r="G47" s="251"/>
      <c r="H47" s="52"/>
      <c r="I47" s="52"/>
      <c r="M47" s="186"/>
      <c r="N47" s="186"/>
    </row>
    <row r="48" spans="2:17" ht="7.5" customHeight="1">
      <c r="B48" s="52"/>
      <c r="C48" s="53"/>
      <c r="D48" s="53"/>
      <c r="E48" s="211"/>
      <c r="F48" s="251"/>
      <c r="G48" s="251"/>
      <c r="H48" s="52"/>
      <c r="I48" s="52"/>
      <c r="O48" s="2"/>
      <c r="Q48" s="2"/>
    </row>
    <row r="49" spans="2:9" ht="13.5" customHeight="1">
      <c r="B49" s="52" t="s">
        <v>79</v>
      </c>
      <c r="C49" s="225" t="s">
        <v>151</v>
      </c>
      <c r="D49" s="225"/>
      <c r="E49" s="225"/>
      <c r="F49" s="251" t="s">
        <v>175</v>
      </c>
      <c r="G49" s="251"/>
      <c r="H49" s="52"/>
      <c r="I49" s="52"/>
    </row>
    <row r="50" spans="2:9" ht="6" customHeight="1">
      <c r="B50" s="54"/>
      <c r="C50" s="55"/>
      <c r="D50" s="55"/>
      <c r="E50" s="211"/>
      <c r="F50" s="197"/>
      <c r="G50" s="54"/>
      <c r="H50" s="56"/>
      <c r="I50" s="6"/>
    </row>
    <row r="51" spans="2:9" ht="15" customHeight="1">
      <c r="B51" s="52" t="s">
        <v>80</v>
      </c>
      <c r="C51" s="225" t="s">
        <v>151</v>
      </c>
      <c r="D51" s="225"/>
      <c r="E51" s="225"/>
      <c r="F51" s="251" t="s">
        <v>175</v>
      </c>
      <c r="G51" s="251"/>
      <c r="H51" s="52"/>
      <c r="I51" s="52"/>
    </row>
    <row r="52" spans="2:9" ht="9.75" customHeight="1">
      <c r="E52" s="211"/>
      <c r="F52" s="250"/>
      <c r="G52" s="250"/>
      <c r="I52" s="3"/>
    </row>
    <row r="57" spans="2:9">
      <c r="G57" s="200"/>
    </row>
  </sheetData>
  <mergeCells count="59">
    <mergeCell ref="B4:H4"/>
    <mergeCell ref="C18:D18"/>
    <mergeCell ref="C19:D19"/>
    <mergeCell ref="C20:D20"/>
    <mergeCell ref="G40:H40"/>
    <mergeCell ref="C17:D17"/>
    <mergeCell ref="C21:D21"/>
    <mergeCell ref="E43:F43"/>
    <mergeCell ref="G43:H43"/>
    <mergeCell ref="C49:E49"/>
    <mergeCell ref="B1:H1"/>
    <mergeCell ref="B5:H6"/>
    <mergeCell ref="H24:H25"/>
    <mergeCell ref="C24:C25"/>
    <mergeCell ref="D24:D25"/>
    <mergeCell ref="B24:B25"/>
    <mergeCell ref="F8:H8"/>
    <mergeCell ref="F15:G15"/>
    <mergeCell ref="B23:H23"/>
    <mergeCell ref="E24:E25"/>
    <mergeCell ref="B2:H2"/>
    <mergeCell ref="B3:H3"/>
    <mergeCell ref="B16:H16"/>
    <mergeCell ref="F52:G52"/>
    <mergeCell ref="F45:G45"/>
    <mergeCell ref="F51:G51"/>
    <mergeCell ref="F48:G48"/>
    <mergeCell ref="F49:G49"/>
    <mergeCell ref="F46:G46"/>
    <mergeCell ref="F47:G47"/>
    <mergeCell ref="G42:H42"/>
    <mergeCell ref="E42:F42"/>
    <mergeCell ref="E17:F17"/>
    <mergeCell ref="G17:H17"/>
    <mergeCell ref="E18:F18"/>
    <mergeCell ref="G18:H18"/>
    <mergeCell ref="E21:F21"/>
    <mergeCell ref="G21:H21"/>
    <mergeCell ref="E19:F19"/>
    <mergeCell ref="G19:H19"/>
    <mergeCell ref="E20:F20"/>
    <mergeCell ref="G20:H20"/>
    <mergeCell ref="G39:H39"/>
    <mergeCell ref="C51:E51"/>
    <mergeCell ref="M23:M24"/>
    <mergeCell ref="C47:E47"/>
    <mergeCell ref="N23:N24"/>
    <mergeCell ref="C45:E45"/>
    <mergeCell ref="C39:D39"/>
    <mergeCell ref="C40:D40"/>
    <mergeCell ref="C41:D41"/>
    <mergeCell ref="C42:D42"/>
    <mergeCell ref="C43:D43"/>
    <mergeCell ref="E40:F40"/>
    <mergeCell ref="E41:F41"/>
    <mergeCell ref="E39:F39"/>
    <mergeCell ref="F24:G24"/>
    <mergeCell ref="B38:H38"/>
    <mergeCell ref="G41:H41"/>
  </mergeCells>
  <printOptions horizontalCentered="1"/>
  <pageMargins left="0.15748031496062992" right="0.19685039370078741" top="0.15748031496062992" bottom="0.15748031496062992" header="0.19685039370078741" footer="0.15748031496062992"/>
  <pageSetup paperSize="9" scale="45" orientation="portrait" horizontalDpi="180" verticalDpi="180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 codeName="Лист10">
    <tabColor rgb="FFFF0000"/>
    <pageSetUpPr fitToPage="1"/>
  </sheetPr>
  <dimension ref="A1:P52"/>
  <sheetViews>
    <sheetView zoomScale="110" zoomScaleNormal="110" workbookViewId="0">
      <selection activeCell="C22" sqref="C22:C23"/>
    </sheetView>
  </sheetViews>
  <sheetFormatPr defaultColWidth="9.140625" defaultRowHeight="15.75" outlineLevelRow="1"/>
  <cols>
    <col min="1" max="1" width="2.85546875" style="78" customWidth="1"/>
    <col min="2" max="2" width="58" style="78" customWidth="1"/>
    <col min="3" max="3" width="25" style="80" customWidth="1"/>
    <col min="4" max="4" width="9.85546875" style="80" customWidth="1"/>
    <col min="5" max="5" width="9.42578125" style="80" customWidth="1"/>
    <col min="6" max="6" width="9.85546875" style="78" customWidth="1"/>
    <col min="7" max="7" width="10.42578125" style="78" customWidth="1"/>
    <col min="8" max="8" width="10.7109375" style="78" customWidth="1"/>
    <col min="9" max="9" width="11.85546875" style="78" customWidth="1"/>
    <col min="10" max="10" width="9.140625" style="78"/>
    <col min="11" max="12" width="9.140625" style="182"/>
    <col min="13" max="13" width="17.7109375" style="182" customWidth="1"/>
    <col min="14" max="14" width="16.28515625" style="182" customWidth="1"/>
    <col min="15" max="15" width="12" style="182" customWidth="1"/>
    <col min="16" max="16" width="9.140625" style="182"/>
    <col min="17" max="16384" width="9.140625" style="78"/>
  </cols>
  <sheetData>
    <row r="1" spans="1:9">
      <c r="B1" s="293" t="s">
        <v>118</v>
      </c>
      <c r="C1" s="293"/>
      <c r="D1" s="293"/>
      <c r="E1" s="293"/>
      <c r="F1" s="293"/>
      <c r="G1" s="293"/>
      <c r="H1" s="293"/>
    </row>
    <row r="2" spans="1:9" ht="9" customHeight="1">
      <c r="B2" s="194"/>
      <c r="C2" s="194"/>
      <c r="D2" s="194"/>
      <c r="E2" s="194"/>
      <c r="F2" s="194"/>
      <c r="G2" s="194"/>
      <c r="H2" s="194"/>
    </row>
    <row r="3" spans="1:9" ht="19.5" customHeight="1">
      <c r="A3" s="79"/>
      <c r="B3" s="256" t="s">
        <v>177</v>
      </c>
      <c r="C3" s="256"/>
      <c r="D3" s="256"/>
      <c r="E3" s="256"/>
      <c r="F3" s="256"/>
      <c r="G3" s="256"/>
      <c r="H3" s="256"/>
    </row>
    <row r="4" spans="1:9" ht="17.25" customHeight="1">
      <c r="A4" s="79"/>
      <c r="B4" s="256"/>
      <c r="C4" s="256"/>
      <c r="D4" s="256"/>
      <c r="E4" s="256"/>
      <c r="F4" s="256"/>
      <c r="G4" s="256"/>
      <c r="H4" s="256"/>
    </row>
    <row r="5" spans="1:9" ht="8.25" customHeight="1"/>
    <row r="6" spans="1:9">
      <c r="B6" s="122" t="s">
        <v>0</v>
      </c>
      <c r="C6" s="123"/>
      <c r="D6" s="294" t="s">
        <v>39</v>
      </c>
      <c r="E6" s="294"/>
    </row>
    <row r="7" spans="1:9">
      <c r="B7" s="122" t="s">
        <v>1</v>
      </c>
      <c r="C7" s="123"/>
      <c r="D7" s="195">
        <v>1963</v>
      </c>
      <c r="E7" s="195"/>
    </row>
    <row r="8" spans="1:9" hidden="1" outlineLevel="1">
      <c r="B8" s="122" t="s">
        <v>2</v>
      </c>
      <c r="C8" s="123"/>
      <c r="D8" s="195">
        <v>4</v>
      </c>
      <c r="E8" s="195"/>
    </row>
    <row r="9" spans="1:9" hidden="1" outlineLevel="1">
      <c r="B9" s="122" t="s">
        <v>3</v>
      </c>
      <c r="C9" s="123"/>
      <c r="D9" s="195">
        <v>29</v>
      </c>
      <c r="E9" s="195"/>
    </row>
    <row r="10" spans="1:9" ht="27.75" hidden="1" customHeight="1" outlineLevel="1">
      <c r="B10" s="125" t="s">
        <v>4</v>
      </c>
      <c r="C10" s="126"/>
      <c r="D10" s="195" t="s">
        <v>40</v>
      </c>
      <c r="E10" s="195"/>
    </row>
    <row r="11" spans="1:9" collapsed="1">
      <c r="B11" s="122" t="s">
        <v>5</v>
      </c>
      <c r="C11" s="123"/>
      <c r="D11" s="195" t="s">
        <v>110</v>
      </c>
      <c r="E11" s="195"/>
      <c r="I11" s="84"/>
    </row>
    <row r="12" spans="1:9" hidden="1" outlineLevel="1">
      <c r="B12" s="78" t="s">
        <v>6</v>
      </c>
      <c r="D12" s="81" t="s">
        <v>41</v>
      </c>
      <c r="E12" s="81"/>
    </row>
    <row r="13" spans="1:9" ht="27.75" hidden="1" customHeight="1" outlineLevel="1">
      <c r="B13" s="82" t="s">
        <v>8</v>
      </c>
      <c r="C13" s="83"/>
      <c r="D13" s="179" t="s">
        <v>42</v>
      </c>
      <c r="E13" s="81"/>
      <c r="I13" s="84"/>
    </row>
    <row r="14" spans="1:9" ht="16.5" collapsed="1" thickBot="1">
      <c r="B14" s="242" t="s">
        <v>176</v>
      </c>
      <c r="C14" s="242"/>
      <c r="D14" s="242"/>
      <c r="E14" s="242"/>
      <c r="F14" s="242"/>
      <c r="G14" s="242"/>
      <c r="H14" s="242"/>
      <c r="I14" s="84"/>
    </row>
    <row r="15" spans="1:9" ht="48.75" customHeight="1" thickBot="1">
      <c r="B15" s="181" t="s">
        <v>178</v>
      </c>
      <c r="C15" s="228" t="s">
        <v>101</v>
      </c>
      <c r="D15" s="229"/>
      <c r="E15" s="238" t="s">
        <v>9</v>
      </c>
      <c r="F15" s="239"/>
      <c r="G15" s="238" t="s">
        <v>10</v>
      </c>
      <c r="H15" s="245"/>
      <c r="I15" s="84"/>
    </row>
    <row r="16" spans="1:9">
      <c r="B16" s="151" t="s">
        <v>11</v>
      </c>
      <c r="C16" s="268">
        <v>2482870.2700000005</v>
      </c>
      <c r="D16" s="269"/>
      <c r="E16" s="230">
        <v>1958440.0800000003</v>
      </c>
      <c r="F16" s="231"/>
      <c r="G16" s="230">
        <v>524430.18999999994</v>
      </c>
      <c r="H16" s="246"/>
      <c r="I16" s="84"/>
    </row>
    <row r="17" spans="2:15">
      <c r="B17" s="152" t="s">
        <v>12</v>
      </c>
      <c r="C17" s="232">
        <v>2266697.6399999997</v>
      </c>
      <c r="D17" s="233"/>
      <c r="E17" s="232">
        <v>1786873.5399999998</v>
      </c>
      <c r="F17" s="233"/>
      <c r="G17" s="232">
        <v>479824.1</v>
      </c>
      <c r="H17" s="243"/>
      <c r="I17" s="84"/>
    </row>
    <row r="18" spans="2:15" ht="16.5" thickBot="1">
      <c r="B18" s="153" t="s">
        <v>88</v>
      </c>
      <c r="C18" s="232">
        <v>2389625.9894000003</v>
      </c>
      <c r="D18" s="233"/>
      <c r="E18" s="234">
        <v>1960157.9894000003</v>
      </c>
      <c r="F18" s="235"/>
      <c r="G18" s="234">
        <v>429468</v>
      </c>
      <c r="H18" s="244"/>
      <c r="I18" s="84"/>
    </row>
    <row r="19" spans="2:15" ht="33" customHeight="1" thickBot="1">
      <c r="B19" s="154" t="s">
        <v>146</v>
      </c>
      <c r="C19" s="236">
        <f>E19+G19</f>
        <v>-122928.34940000053</v>
      </c>
      <c r="D19" s="237"/>
      <c r="E19" s="247">
        <f>E17-E18</f>
        <v>-173284.44940000051</v>
      </c>
      <c r="F19" s="248"/>
      <c r="G19" s="247">
        <f>G17-G18</f>
        <v>50356.099999999977</v>
      </c>
      <c r="H19" s="249"/>
      <c r="I19" s="84"/>
    </row>
    <row r="20" spans="2:15">
      <c r="B20" s="82"/>
      <c r="C20" s="83"/>
      <c r="D20" s="179"/>
      <c r="E20" s="81"/>
      <c r="I20" s="84"/>
    </row>
    <row r="21" spans="2:15" ht="33" customHeight="1" thickBot="1">
      <c r="B21" s="265" t="s">
        <v>179</v>
      </c>
      <c r="C21" s="265"/>
      <c r="D21" s="265"/>
      <c r="E21" s="265"/>
      <c r="F21" s="265"/>
      <c r="G21" s="265"/>
      <c r="H21" s="265"/>
      <c r="L21" s="212"/>
      <c r="M21" s="226" t="s">
        <v>148</v>
      </c>
      <c r="N21" s="226" t="s">
        <v>149</v>
      </c>
    </row>
    <row r="22" spans="2:15" ht="38.25" customHeight="1">
      <c r="B22" s="261" t="s">
        <v>94</v>
      </c>
      <c r="C22" s="259" t="s">
        <v>95</v>
      </c>
      <c r="D22" s="259" t="s">
        <v>116</v>
      </c>
      <c r="E22" s="266" t="s">
        <v>180</v>
      </c>
      <c r="F22" s="240" t="s">
        <v>96</v>
      </c>
      <c r="G22" s="241"/>
      <c r="H22" s="257" t="s">
        <v>122</v>
      </c>
      <c r="L22" s="212"/>
      <c r="M22" s="227"/>
      <c r="N22" s="227"/>
    </row>
    <row r="23" spans="2:15" ht="38.25" customHeight="1" thickBot="1">
      <c r="B23" s="262"/>
      <c r="C23" s="260"/>
      <c r="D23" s="260"/>
      <c r="E23" s="267"/>
      <c r="F23" s="17" t="s">
        <v>81</v>
      </c>
      <c r="G23" s="18" t="s">
        <v>82</v>
      </c>
      <c r="H23" s="258"/>
      <c r="M23" s="183">
        <v>258978.97</v>
      </c>
      <c r="N23" s="183">
        <f>M23*1.05</f>
        <v>271927.91850000003</v>
      </c>
      <c r="O23" s="182" t="s">
        <v>184</v>
      </c>
    </row>
    <row r="24" spans="2:15" ht="45">
      <c r="B24" s="85" t="s">
        <v>141</v>
      </c>
      <c r="C24" s="86" t="s">
        <v>136</v>
      </c>
      <c r="D24" s="87" t="s">
        <v>98</v>
      </c>
      <c r="E24" s="88">
        <v>2.2799999999999998</v>
      </c>
      <c r="F24" s="89">
        <f>($M$23+$M$25)/$M$24*E24</f>
        <v>40317.37917167438</v>
      </c>
      <c r="G24" s="90">
        <f>($N$23+$N$25)/$N$24*E24</f>
        <v>42333.248130258115</v>
      </c>
      <c r="H24" s="91">
        <f>F24-G24</f>
        <v>-2015.8689585837346</v>
      </c>
      <c r="I24" s="92"/>
      <c r="J24" s="93"/>
      <c r="K24" s="213"/>
      <c r="L24" s="214"/>
      <c r="M24" s="185">
        <f>E33-E31</f>
        <v>15.57</v>
      </c>
      <c r="N24" s="185">
        <f>E33-E31</f>
        <v>15.57</v>
      </c>
      <c r="O24" s="185">
        <f>E33-E31</f>
        <v>15.57</v>
      </c>
    </row>
    <row r="25" spans="2:15" ht="51">
      <c r="B25" s="95" t="s">
        <v>142</v>
      </c>
      <c r="C25" s="86" t="s">
        <v>136</v>
      </c>
      <c r="D25" s="87" t="s">
        <v>98</v>
      </c>
      <c r="E25" s="96">
        <v>2.98</v>
      </c>
      <c r="F25" s="89">
        <f t="shared" ref="F25:F32" si="0">($M$23+$M$25)/$M$24*E25</f>
        <v>52695.521899820029</v>
      </c>
      <c r="G25" s="90">
        <f t="shared" ref="G25:G30" si="1">($N$23+$N$25)/$N$24*E25</f>
        <v>55330.297994811051</v>
      </c>
      <c r="H25" s="91">
        <f t="shared" ref="H25:H30" si="2">F25-G25</f>
        <v>-2634.7760949910225</v>
      </c>
      <c r="I25" s="97"/>
      <c r="J25" s="98"/>
      <c r="K25" s="186"/>
      <c r="L25" s="189" t="s">
        <v>133</v>
      </c>
      <c r="M25" s="188">
        <f>M26/E33*M24</f>
        <v>16346.290396039605</v>
      </c>
      <c r="N25" s="188">
        <f>N26/E33*N24</f>
        <v>17163.604915841584</v>
      </c>
      <c r="O25" s="188">
        <f>O26/E33*O24</f>
        <v>0</v>
      </c>
    </row>
    <row r="26" spans="2:15" ht="50.25" customHeight="1">
      <c r="B26" s="100" t="s">
        <v>83</v>
      </c>
      <c r="C26" s="86" t="s">
        <v>136</v>
      </c>
      <c r="D26" s="87" t="s">
        <v>98</v>
      </c>
      <c r="E26" s="96">
        <v>0.32</v>
      </c>
      <c r="F26" s="89">
        <f t="shared" si="0"/>
        <v>5658.5795328665808</v>
      </c>
      <c r="G26" s="90">
        <f t="shared" si="1"/>
        <v>5941.5085095099121</v>
      </c>
      <c r="H26" s="91">
        <f t="shared" si="2"/>
        <v>-282.92897664333123</v>
      </c>
      <c r="I26" s="101"/>
      <c r="L26" s="189" t="s">
        <v>131</v>
      </c>
      <c r="M26" s="189">
        <f>17237.97+1848.45</f>
        <v>19086.420000000002</v>
      </c>
      <c r="N26" s="189">
        <f>M26*1.05</f>
        <v>20040.741000000002</v>
      </c>
      <c r="O26" s="189">
        <v>0</v>
      </c>
    </row>
    <row r="27" spans="2:15" ht="28.5" customHeight="1">
      <c r="B27" s="100" t="s">
        <v>84</v>
      </c>
      <c r="C27" s="102" t="s">
        <v>99</v>
      </c>
      <c r="D27" s="87" t="s">
        <v>98</v>
      </c>
      <c r="E27" s="96">
        <v>0.53</v>
      </c>
      <c r="F27" s="89">
        <f t="shared" si="0"/>
        <v>9372.0223513102737</v>
      </c>
      <c r="G27" s="90">
        <f t="shared" si="1"/>
        <v>9840.6234688757922</v>
      </c>
      <c r="H27" s="91">
        <f t="shared" si="2"/>
        <v>-468.60111756551851</v>
      </c>
      <c r="I27" s="101"/>
      <c r="L27" s="188" t="s">
        <v>134</v>
      </c>
      <c r="M27" s="188">
        <f>M26/E33*E31</f>
        <v>2740.1296039603958</v>
      </c>
      <c r="N27" s="188"/>
      <c r="O27" s="188">
        <f>O26/E33*E31</f>
        <v>0</v>
      </c>
    </row>
    <row r="28" spans="2:15" ht="51">
      <c r="B28" s="95" t="s">
        <v>143</v>
      </c>
      <c r="C28" s="86" t="s">
        <v>137</v>
      </c>
      <c r="D28" s="87" t="s">
        <v>98</v>
      </c>
      <c r="E28" s="96">
        <v>1.48</v>
      </c>
      <c r="F28" s="89">
        <f t="shared" si="0"/>
        <v>26170.930339507933</v>
      </c>
      <c r="G28" s="90">
        <f t="shared" si="1"/>
        <v>27479.476856483339</v>
      </c>
      <c r="H28" s="91">
        <f t="shared" si="2"/>
        <v>-1308.5465169754061</v>
      </c>
      <c r="I28" s="101"/>
    </row>
    <row r="29" spans="2:15" ht="210.75" customHeight="1">
      <c r="B29" s="95" t="s">
        <v>144</v>
      </c>
      <c r="C29" s="103" t="s">
        <v>100</v>
      </c>
      <c r="D29" s="87" t="s">
        <v>98</v>
      </c>
      <c r="E29" s="96">
        <v>6.05</v>
      </c>
      <c r="F29" s="89">
        <f t="shared" si="0"/>
        <v>106982.51929325878</v>
      </c>
      <c r="G29" s="90">
        <f t="shared" si="1"/>
        <v>112331.64525792176</v>
      </c>
      <c r="H29" s="91">
        <f t="shared" si="2"/>
        <v>-5349.1259646629769</v>
      </c>
      <c r="I29" s="97"/>
      <c r="J29" s="98"/>
      <c r="K29" s="186"/>
      <c r="L29" s="215"/>
      <c r="M29" s="186"/>
      <c r="N29" s="186"/>
    </row>
    <row r="30" spans="2:15" ht="106.5" customHeight="1">
      <c r="B30" s="95" t="s">
        <v>145</v>
      </c>
      <c r="C30" s="86" t="s">
        <v>136</v>
      </c>
      <c r="D30" s="87" t="s">
        <v>98</v>
      </c>
      <c r="E30" s="96">
        <v>0.7</v>
      </c>
      <c r="F30" s="89">
        <f t="shared" si="0"/>
        <v>12378.142728145644</v>
      </c>
      <c r="G30" s="90">
        <f t="shared" si="1"/>
        <v>12997.049864552931</v>
      </c>
      <c r="H30" s="91">
        <f t="shared" si="2"/>
        <v>-618.90713640728791</v>
      </c>
      <c r="I30" s="101"/>
    </row>
    <row r="31" spans="2:15" ht="60" customHeight="1">
      <c r="B31" s="100" t="s">
        <v>91</v>
      </c>
      <c r="C31" s="86" t="s">
        <v>136</v>
      </c>
      <c r="D31" s="87" t="s">
        <v>98</v>
      </c>
      <c r="E31" s="96">
        <v>2.61</v>
      </c>
      <c r="F31" s="89">
        <f>43412.66+M27</f>
        <v>46152.789603960402</v>
      </c>
      <c r="G31" s="104">
        <v>80242</v>
      </c>
      <c r="H31" s="91">
        <f>F31-G31</f>
        <v>-34089.210396039598</v>
      </c>
      <c r="I31" s="101"/>
      <c r="L31" s="212"/>
    </row>
    <row r="32" spans="2:15" ht="16.5" thickBot="1">
      <c r="B32" s="105" t="s">
        <v>85</v>
      </c>
      <c r="C32" s="106" t="s">
        <v>100</v>
      </c>
      <c r="D32" s="107" t="s">
        <v>98</v>
      </c>
      <c r="E32" s="108">
        <v>1.23</v>
      </c>
      <c r="F32" s="89">
        <f t="shared" si="0"/>
        <v>21750.165079455917</v>
      </c>
      <c r="G32" s="90">
        <f t="shared" ref="G32" si="3">($N$23+$N$25)/$N$24*E32</f>
        <v>22837.673333428724</v>
      </c>
      <c r="H32" s="91">
        <f>F32-G32</f>
        <v>-1087.5082539728064</v>
      </c>
      <c r="I32" s="101"/>
    </row>
    <row r="33" spans="2:14" ht="16.5" thickBot="1">
      <c r="B33" s="109" t="s">
        <v>89</v>
      </c>
      <c r="C33" s="110"/>
      <c r="D33" s="110"/>
      <c r="E33" s="198">
        <f>SUM(E24:E32)</f>
        <v>18.18</v>
      </c>
      <c r="F33" s="111">
        <f>SUM(F24:F32)</f>
        <v>321478.05</v>
      </c>
      <c r="G33" s="112">
        <f>SUM(G24:G32)</f>
        <v>369333.52341584163</v>
      </c>
      <c r="H33" s="113">
        <f>SUM(H24:H32)</f>
        <v>-47855.473415841683</v>
      </c>
      <c r="I33" s="180"/>
    </row>
    <row r="34" spans="2:14">
      <c r="B34" s="84"/>
      <c r="C34" s="84"/>
      <c r="D34" s="84"/>
      <c r="E34" s="114"/>
      <c r="F34" s="114"/>
      <c r="G34" s="114"/>
      <c r="H34" s="80"/>
    </row>
    <row r="35" spans="2:14" ht="16.5" customHeight="1" thickBot="1">
      <c r="B35" s="242" t="s">
        <v>181</v>
      </c>
      <c r="C35" s="242"/>
      <c r="D35" s="242"/>
      <c r="E35" s="242"/>
      <c r="F35" s="242"/>
      <c r="G35" s="242"/>
      <c r="H35" s="242"/>
      <c r="I35" s="115"/>
      <c r="J35" s="115"/>
    </row>
    <row r="36" spans="2:14" ht="47.25" customHeight="1" thickBot="1">
      <c r="B36" s="181" t="s">
        <v>182</v>
      </c>
      <c r="C36" s="228" t="s">
        <v>101</v>
      </c>
      <c r="D36" s="229"/>
      <c r="E36" s="238" t="s">
        <v>9</v>
      </c>
      <c r="F36" s="239"/>
      <c r="G36" s="238" t="s">
        <v>10</v>
      </c>
      <c r="H36" s="245"/>
      <c r="I36" s="116"/>
      <c r="J36" s="117"/>
      <c r="K36" s="216"/>
      <c r="L36" s="217"/>
      <c r="M36" s="187"/>
      <c r="N36" s="187"/>
    </row>
    <row r="37" spans="2:14">
      <c r="B37" s="151" t="s">
        <v>11</v>
      </c>
      <c r="C37" s="268">
        <f>E37+G37</f>
        <v>2804348.3200000003</v>
      </c>
      <c r="D37" s="273"/>
      <c r="E37" s="230">
        <f>F24+F25+F26+F27+F28+F29+F30+F32+E16</f>
        <v>2233765.3403960401</v>
      </c>
      <c r="F37" s="231"/>
      <c r="G37" s="230">
        <f>F31+G16</f>
        <v>570582.9796039603</v>
      </c>
      <c r="H37" s="246"/>
      <c r="I37" s="119"/>
      <c r="J37" s="120"/>
      <c r="K37" s="191"/>
      <c r="L37" s="191"/>
      <c r="M37" s="188"/>
    </row>
    <row r="38" spans="2:14">
      <c r="B38" s="152" t="s">
        <v>12</v>
      </c>
      <c r="C38" s="232">
        <f>E38+G38</f>
        <v>2585859.23</v>
      </c>
      <c r="D38" s="233"/>
      <c r="E38" s="232">
        <f>E17+O25+273341.36</f>
        <v>2060214.9</v>
      </c>
      <c r="F38" s="233"/>
      <c r="G38" s="232">
        <f>G17+O27+45820.23</f>
        <v>525644.32999999996</v>
      </c>
      <c r="H38" s="243"/>
      <c r="I38" s="119"/>
      <c r="J38" s="120"/>
      <c r="K38" s="218"/>
      <c r="L38" s="191"/>
      <c r="M38" s="188"/>
    </row>
    <row r="39" spans="2:14" ht="16.5" thickBot="1">
      <c r="B39" s="153" t="s">
        <v>88</v>
      </c>
      <c r="C39" s="271">
        <f>E39+G39</f>
        <v>2758959.5128158419</v>
      </c>
      <c r="D39" s="277"/>
      <c r="E39" s="234">
        <f>G24+G25+G26+G27+G28+G29+G30+G32+E18</f>
        <v>2249249.5128158419</v>
      </c>
      <c r="F39" s="235"/>
      <c r="G39" s="234">
        <f>G31+G18</f>
        <v>509710</v>
      </c>
      <c r="H39" s="244"/>
      <c r="I39" s="119"/>
      <c r="J39" s="120"/>
      <c r="K39" s="219"/>
      <c r="L39" s="219"/>
    </row>
    <row r="40" spans="2:14" ht="30" customHeight="1" thickBot="1">
      <c r="B40" s="154" t="s">
        <v>147</v>
      </c>
      <c r="C40" s="236">
        <f>E40+G40</f>
        <v>-173100.28281584207</v>
      </c>
      <c r="D40" s="237"/>
      <c r="E40" s="247">
        <f>E38-E39</f>
        <v>-189034.61281584203</v>
      </c>
      <c r="F40" s="248"/>
      <c r="G40" s="247">
        <f>G38-G39</f>
        <v>15934.329999999958</v>
      </c>
      <c r="H40" s="249"/>
      <c r="I40" s="119"/>
      <c r="J40" s="120"/>
      <c r="K40" s="219"/>
      <c r="L40" s="219"/>
    </row>
    <row r="41" spans="2:14" ht="30.75" customHeight="1">
      <c r="B41" s="52" t="s">
        <v>77</v>
      </c>
      <c r="C41" s="225" t="s">
        <v>150</v>
      </c>
      <c r="D41" s="225"/>
      <c r="E41" s="225"/>
      <c r="F41" s="251" t="s">
        <v>174</v>
      </c>
      <c r="G41" s="251"/>
      <c r="H41" s="127"/>
      <c r="I41" s="127"/>
      <c r="J41" s="98"/>
      <c r="K41" s="186"/>
      <c r="L41" s="186"/>
      <c r="M41" s="186"/>
      <c r="N41" s="186"/>
    </row>
    <row r="42" spans="2:14" ht="8.25" customHeight="1">
      <c r="B42" s="52"/>
      <c r="C42" s="53"/>
      <c r="D42" s="53"/>
      <c r="E42" s="196"/>
      <c r="F42" s="252"/>
      <c r="G42" s="252"/>
      <c r="H42" s="127"/>
      <c r="I42" s="127"/>
      <c r="J42" s="98"/>
      <c r="K42" s="186"/>
      <c r="L42" s="186"/>
      <c r="M42" s="186"/>
      <c r="N42" s="186"/>
    </row>
    <row r="43" spans="2:14" ht="12" customHeight="1">
      <c r="B43" s="52" t="s">
        <v>78</v>
      </c>
      <c r="C43" s="225" t="s">
        <v>150</v>
      </c>
      <c r="D43" s="225"/>
      <c r="E43" s="225"/>
      <c r="F43" s="251" t="s">
        <v>93</v>
      </c>
      <c r="G43" s="251"/>
      <c r="H43" s="127"/>
      <c r="I43" s="127"/>
      <c r="J43" s="98"/>
      <c r="K43" s="186"/>
      <c r="L43" s="186"/>
      <c r="M43" s="186"/>
      <c r="N43" s="186"/>
    </row>
    <row r="44" spans="2:14" ht="9.75" customHeight="1">
      <c r="B44" s="52"/>
      <c r="C44" s="53"/>
      <c r="D44" s="53"/>
      <c r="E44" s="196"/>
      <c r="F44" s="251"/>
      <c r="G44" s="251"/>
      <c r="H44" s="127"/>
      <c r="I44" s="127"/>
    </row>
    <row r="45" spans="2:14" ht="12.75" customHeight="1">
      <c r="B45" s="52" t="s">
        <v>79</v>
      </c>
      <c r="C45" s="225" t="s">
        <v>151</v>
      </c>
      <c r="D45" s="225"/>
      <c r="E45" s="225"/>
      <c r="F45" s="251" t="s">
        <v>175</v>
      </c>
      <c r="G45" s="251"/>
      <c r="H45" s="127"/>
      <c r="I45" s="127"/>
    </row>
    <row r="46" spans="2:14" ht="6" customHeight="1">
      <c r="B46" s="54"/>
      <c r="C46" s="55"/>
      <c r="D46" s="55"/>
      <c r="E46" s="196"/>
      <c r="F46" s="197"/>
      <c r="G46" s="54"/>
      <c r="H46" s="123"/>
      <c r="I46" s="122"/>
    </row>
    <row r="47" spans="2:14">
      <c r="B47" s="52" t="s">
        <v>80</v>
      </c>
      <c r="C47" s="225" t="s">
        <v>151</v>
      </c>
      <c r="D47" s="225"/>
      <c r="E47" s="225"/>
      <c r="F47" s="251" t="s">
        <v>175</v>
      </c>
      <c r="G47" s="251"/>
      <c r="H47" s="127"/>
      <c r="I47" s="127"/>
    </row>
    <row r="48" spans="2:14" ht="12.75" customHeight="1">
      <c r="B48" s="1"/>
      <c r="C48" s="14"/>
      <c r="D48" s="3"/>
      <c r="E48" s="193"/>
      <c r="F48" s="1"/>
      <c r="G48" s="1"/>
      <c r="H48" s="80"/>
      <c r="I48" s="80"/>
    </row>
    <row r="49" spans="3:5">
      <c r="C49" s="114"/>
      <c r="E49" s="124"/>
    </row>
    <row r="50" spans="3:5">
      <c r="C50" s="114"/>
    </row>
    <row r="51" spans="3:5">
      <c r="C51" s="114"/>
    </row>
    <row r="52" spans="3:5">
      <c r="C52" s="114"/>
    </row>
  </sheetData>
  <mergeCells count="54">
    <mergeCell ref="M21:M22"/>
    <mergeCell ref="N21:N22"/>
    <mergeCell ref="C19:D19"/>
    <mergeCell ref="E19:F19"/>
    <mergeCell ref="G19:H19"/>
    <mergeCell ref="C36:D36"/>
    <mergeCell ref="C37:D37"/>
    <mergeCell ref="C17:D17"/>
    <mergeCell ref="E17:F17"/>
    <mergeCell ref="G17:H17"/>
    <mergeCell ref="C18:D18"/>
    <mergeCell ref="E18:F18"/>
    <mergeCell ref="G18:H18"/>
    <mergeCell ref="C22:C23"/>
    <mergeCell ref="D22:D23"/>
    <mergeCell ref="E22:E23"/>
    <mergeCell ref="F22:G22"/>
    <mergeCell ref="B14:H14"/>
    <mergeCell ref="C15:D15"/>
    <mergeCell ref="E15:F15"/>
    <mergeCell ref="G15:H15"/>
    <mergeCell ref="C16:D16"/>
    <mergeCell ref="E16:F16"/>
    <mergeCell ref="G16:H16"/>
    <mergeCell ref="B1:H1"/>
    <mergeCell ref="B3:H4"/>
    <mergeCell ref="E38:F38"/>
    <mergeCell ref="F45:G45"/>
    <mergeCell ref="F42:G42"/>
    <mergeCell ref="G39:H39"/>
    <mergeCell ref="G40:H40"/>
    <mergeCell ref="F41:G41"/>
    <mergeCell ref="D6:E6"/>
    <mergeCell ref="E36:F36"/>
    <mergeCell ref="B21:H21"/>
    <mergeCell ref="B22:B23"/>
    <mergeCell ref="E40:F40"/>
    <mergeCell ref="H22:H23"/>
    <mergeCell ref="G36:H36"/>
    <mergeCell ref="B35:H35"/>
    <mergeCell ref="F47:G47"/>
    <mergeCell ref="E39:F39"/>
    <mergeCell ref="F43:G43"/>
    <mergeCell ref="E37:F37"/>
    <mergeCell ref="F44:G44"/>
    <mergeCell ref="G37:H37"/>
    <mergeCell ref="G38:H38"/>
    <mergeCell ref="C45:E45"/>
    <mergeCell ref="C47:E47"/>
    <mergeCell ref="C38:D38"/>
    <mergeCell ref="C39:D39"/>
    <mergeCell ref="C40:D40"/>
    <mergeCell ref="C41:E41"/>
    <mergeCell ref="C43:E43"/>
  </mergeCells>
  <printOptions horizontalCentered="1"/>
  <pageMargins left="0.19685039370078741" right="0.19685039370078741" top="0.15748031496062992" bottom="0.23622047244094491" header="0.31496062992125984" footer="0.31496062992125984"/>
  <pageSetup paperSize="9" scale="45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 codeName="Лист11">
    <tabColor rgb="FF0070C0"/>
    <pageSetUpPr fitToPage="1"/>
  </sheetPr>
  <dimension ref="A1:N51"/>
  <sheetViews>
    <sheetView zoomScale="110" zoomScaleNormal="110" workbookViewId="0">
      <selection activeCell="C24" sqref="C24:C25"/>
    </sheetView>
  </sheetViews>
  <sheetFormatPr defaultColWidth="9.140625" defaultRowHeight="15.75" outlineLevelRow="1"/>
  <cols>
    <col min="1" max="1" width="2.85546875" style="1" customWidth="1"/>
    <col min="2" max="2" width="55.7109375" style="1" customWidth="1"/>
    <col min="3" max="3" width="14.7109375" style="14" customWidth="1"/>
    <col min="4" max="4" width="8.5703125" style="3" customWidth="1"/>
    <col min="5" max="5" width="10.140625" style="3" customWidth="1"/>
    <col min="6" max="6" width="10.28515625" style="1" customWidth="1"/>
    <col min="7" max="7" width="10.42578125" style="1" customWidth="1"/>
    <col min="8" max="8" width="10.85546875" style="1" customWidth="1"/>
    <col min="9" max="9" width="15.42578125" style="1" customWidth="1"/>
    <col min="10" max="10" width="14.85546875" style="1" customWidth="1"/>
    <col min="11" max="12" width="9.140625" style="1"/>
    <col min="13" max="13" width="17.28515625" style="182" customWidth="1"/>
    <col min="14" max="14" width="16.7109375" style="182" customWidth="1"/>
    <col min="15" max="16384" width="9.140625" style="1"/>
  </cols>
  <sheetData>
    <row r="1" spans="1:9">
      <c r="B1" s="255" t="s">
        <v>119</v>
      </c>
      <c r="C1" s="255"/>
      <c r="D1" s="255"/>
      <c r="E1" s="255"/>
      <c r="F1" s="255"/>
      <c r="G1" s="255"/>
      <c r="H1" s="255"/>
    </row>
    <row r="2" spans="1:9">
      <c r="B2" s="255" t="s">
        <v>120</v>
      </c>
      <c r="C2" s="255"/>
      <c r="D2" s="255"/>
      <c r="E2" s="255"/>
      <c r="F2" s="255"/>
      <c r="G2" s="255"/>
      <c r="H2" s="255"/>
    </row>
    <row r="3" spans="1:9">
      <c r="B3" s="255" t="s">
        <v>161</v>
      </c>
      <c r="C3" s="255"/>
      <c r="D3" s="255"/>
      <c r="E3" s="255"/>
      <c r="F3" s="255"/>
      <c r="G3" s="255"/>
      <c r="H3" s="255"/>
    </row>
    <row r="4" spans="1:9" ht="15.75" customHeight="1">
      <c r="B4" s="255" t="s">
        <v>183</v>
      </c>
      <c r="C4" s="255"/>
      <c r="D4" s="255"/>
      <c r="E4" s="255"/>
      <c r="F4" s="255"/>
      <c r="G4" s="255"/>
      <c r="H4" s="255"/>
    </row>
    <row r="5" spans="1:9" ht="15.75" customHeight="1">
      <c r="A5" s="210"/>
      <c r="B5" s="256" t="s">
        <v>177</v>
      </c>
      <c r="C5" s="256"/>
      <c r="D5" s="256"/>
      <c r="E5" s="256"/>
      <c r="F5" s="256"/>
      <c r="G5" s="256"/>
      <c r="H5" s="256"/>
    </row>
    <row r="6" spans="1:9" ht="21" customHeight="1">
      <c r="A6" s="210"/>
      <c r="B6" s="256"/>
      <c r="C6" s="256"/>
      <c r="D6" s="256"/>
      <c r="E6" s="256"/>
      <c r="F6" s="256"/>
      <c r="G6" s="256"/>
      <c r="H6" s="256"/>
    </row>
    <row r="7" spans="1:9" ht="9" customHeight="1"/>
    <row r="8" spans="1:9">
      <c r="B8" s="164" t="s">
        <v>0</v>
      </c>
      <c r="C8" s="165"/>
      <c r="D8" s="263" t="s">
        <v>43</v>
      </c>
      <c r="E8" s="263"/>
    </row>
    <row r="9" spans="1:9">
      <c r="B9" s="164" t="s">
        <v>1</v>
      </c>
      <c r="C9" s="165"/>
      <c r="D9" s="203">
        <v>1963</v>
      </c>
      <c r="E9" s="203"/>
    </row>
    <row r="10" spans="1:9" hidden="1" outlineLevel="1">
      <c r="B10" s="164" t="s">
        <v>2</v>
      </c>
      <c r="C10" s="165"/>
      <c r="D10" s="203">
        <v>4</v>
      </c>
      <c r="E10" s="203"/>
    </row>
    <row r="11" spans="1:9" hidden="1" outlineLevel="1">
      <c r="B11" s="164" t="s">
        <v>3</v>
      </c>
      <c r="C11" s="165"/>
      <c r="D11" s="203">
        <v>63</v>
      </c>
      <c r="E11" s="203"/>
    </row>
    <row r="12" spans="1:9" ht="30.75" hidden="1" customHeight="1" outlineLevel="1">
      <c r="B12" s="166" t="s">
        <v>4</v>
      </c>
      <c r="C12" s="167"/>
      <c r="D12" s="203" t="s">
        <v>44</v>
      </c>
      <c r="E12" s="203"/>
    </row>
    <row r="13" spans="1:9" collapsed="1">
      <c r="B13" s="164" t="s">
        <v>5</v>
      </c>
      <c r="C13" s="165"/>
      <c r="D13" s="203" t="s">
        <v>111</v>
      </c>
      <c r="E13" s="203"/>
      <c r="I13" s="5"/>
    </row>
    <row r="14" spans="1:9" hidden="1" outlineLevel="1">
      <c r="B14" s="1" t="s">
        <v>6</v>
      </c>
      <c r="D14" s="157" t="s">
        <v>7</v>
      </c>
      <c r="E14" s="157"/>
    </row>
    <row r="15" spans="1:9" ht="30.75" hidden="1" customHeight="1" outlineLevel="1">
      <c r="B15" s="15" t="s">
        <v>8</v>
      </c>
      <c r="C15" s="16"/>
      <c r="D15" s="204" t="s">
        <v>45</v>
      </c>
      <c r="E15" s="157"/>
      <c r="I15" s="5"/>
    </row>
    <row r="16" spans="1:9" ht="16.5" collapsed="1" thickBot="1">
      <c r="B16" s="242" t="s">
        <v>176</v>
      </c>
      <c r="C16" s="242"/>
      <c r="D16" s="242"/>
      <c r="E16" s="242"/>
      <c r="F16" s="242"/>
      <c r="G16" s="242"/>
      <c r="H16" s="242"/>
      <c r="I16" s="5"/>
    </row>
    <row r="17" spans="2:14" ht="39.75" customHeight="1" thickBot="1">
      <c r="B17" s="181" t="s">
        <v>178</v>
      </c>
      <c r="C17" s="228" t="s">
        <v>101</v>
      </c>
      <c r="D17" s="229"/>
      <c r="E17" s="238" t="s">
        <v>9</v>
      </c>
      <c r="F17" s="239"/>
      <c r="G17" s="238" t="s">
        <v>10</v>
      </c>
      <c r="H17" s="245"/>
      <c r="I17" s="5"/>
    </row>
    <row r="18" spans="2:14">
      <c r="B18" s="151" t="s">
        <v>11</v>
      </c>
      <c r="C18" s="268">
        <v>4659379.24</v>
      </c>
      <c r="D18" s="269"/>
      <c r="E18" s="230">
        <v>3419849.44</v>
      </c>
      <c r="F18" s="231"/>
      <c r="G18" s="230">
        <v>1239529.7999999998</v>
      </c>
      <c r="H18" s="246"/>
      <c r="I18" s="5"/>
    </row>
    <row r="19" spans="2:14">
      <c r="B19" s="152" t="s">
        <v>12</v>
      </c>
      <c r="C19" s="232">
        <v>4490286.68</v>
      </c>
      <c r="D19" s="270"/>
      <c r="E19" s="232">
        <v>3297456.05</v>
      </c>
      <c r="F19" s="233"/>
      <c r="G19" s="232">
        <v>1192830.6300000001</v>
      </c>
      <c r="H19" s="243"/>
      <c r="I19" s="5"/>
    </row>
    <row r="20" spans="2:14" ht="16.5" thickBot="1">
      <c r="B20" s="153" t="s">
        <v>88</v>
      </c>
      <c r="C20" s="271">
        <v>4553153.2264</v>
      </c>
      <c r="D20" s="272"/>
      <c r="E20" s="234">
        <v>3433946.2264</v>
      </c>
      <c r="F20" s="235"/>
      <c r="G20" s="234">
        <v>1119207</v>
      </c>
      <c r="H20" s="244"/>
      <c r="I20" s="5"/>
    </row>
    <row r="21" spans="2:14" ht="36.75" thickBot="1">
      <c r="B21" s="154" t="s">
        <v>146</v>
      </c>
      <c r="C21" s="236">
        <f>E21+G21</f>
        <v>-62866.546400000108</v>
      </c>
      <c r="D21" s="237"/>
      <c r="E21" s="247">
        <f>E19-E20</f>
        <v>-136490.17640000023</v>
      </c>
      <c r="F21" s="248"/>
      <c r="G21" s="247">
        <f>G19-G20</f>
        <v>73623.630000000121</v>
      </c>
      <c r="H21" s="249"/>
      <c r="I21" s="5"/>
    </row>
    <row r="22" spans="2:14">
      <c r="B22" s="15"/>
      <c r="C22" s="16"/>
      <c r="D22" s="204"/>
      <c r="E22" s="157"/>
      <c r="I22" s="5"/>
    </row>
    <row r="23" spans="2:14" ht="36" customHeight="1" thickBot="1">
      <c r="B23" s="265" t="s">
        <v>179</v>
      </c>
      <c r="C23" s="265"/>
      <c r="D23" s="265"/>
      <c r="E23" s="265"/>
      <c r="F23" s="265"/>
      <c r="G23" s="265"/>
      <c r="H23" s="265"/>
      <c r="L23" s="5"/>
      <c r="M23" s="226" t="s">
        <v>148</v>
      </c>
      <c r="N23" s="226" t="s">
        <v>149</v>
      </c>
    </row>
    <row r="24" spans="2:14" ht="34.5" customHeight="1">
      <c r="B24" s="261" t="s">
        <v>94</v>
      </c>
      <c r="C24" s="259" t="s">
        <v>95</v>
      </c>
      <c r="D24" s="259" t="s">
        <v>116</v>
      </c>
      <c r="E24" s="266" t="s">
        <v>180</v>
      </c>
      <c r="F24" s="240" t="s">
        <v>96</v>
      </c>
      <c r="G24" s="241"/>
      <c r="H24" s="257" t="s">
        <v>122</v>
      </c>
      <c r="L24" s="5"/>
      <c r="M24" s="227"/>
      <c r="N24" s="227"/>
    </row>
    <row r="25" spans="2:14" ht="42" customHeight="1" thickBot="1">
      <c r="B25" s="262"/>
      <c r="C25" s="260"/>
      <c r="D25" s="260"/>
      <c r="E25" s="267"/>
      <c r="F25" s="17" t="s">
        <v>81</v>
      </c>
      <c r="G25" s="18" t="s">
        <v>82</v>
      </c>
      <c r="H25" s="258"/>
      <c r="M25" s="183">
        <v>347397.51</v>
      </c>
      <c r="N25" s="183">
        <f>M25*1.05</f>
        <v>364767.38550000003</v>
      </c>
    </row>
    <row r="26" spans="2:14" ht="45" customHeight="1">
      <c r="B26" s="19" t="s">
        <v>86</v>
      </c>
      <c r="C26" s="20" t="s">
        <v>97</v>
      </c>
      <c r="D26" s="21" t="s">
        <v>98</v>
      </c>
      <c r="E26" s="22">
        <v>1.06</v>
      </c>
      <c r="F26" s="23">
        <f>$M$25/$M$26*E26</f>
        <v>32530.155530035339</v>
      </c>
      <c r="G26" s="24">
        <f>$N$25/$N$26*E26</f>
        <v>34156.663306537106</v>
      </c>
      <c r="H26" s="25">
        <f>F26-G26</f>
        <v>-1626.5077765017668</v>
      </c>
      <c r="I26" s="26"/>
      <c r="J26" s="199"/>
      <c r="K26" s="199"/>
      <c r="L26" s="27"/>
      <c r="M26" s="185">
        <f>E35-E33</f>
        <v>11.32</v>
      </c>
      <c r="N26" s="185">
        <f>E35-E33</f>
        <v>11.32</v>
      </c>
    </row>
    <row r="27" spans="2:14" ht="51">
      <c r="B27" s="28" t="s">
        <v>90</v>
      </c>
      <c r="C27" s="20" t="s">
        <v>97</v>
      </c>
      <c r="D27" s="21" t="s">
        <v>98</v>
      </c>
      <c r="E27" s="29">
        <v>1.19</v>
      </c>
      <c r="F27" s="23">
        <f t="shared" ref="F27:F34" si="0">$M$25/$M$26*E27</f>
        <v>36519.702906360428</v>
      </c>
      <c r="G27" s="24">
        <f t="shared" ref="G27:G31" si="1">$N$25/$N$26*E27</f>
        <v>38345.688051678451</v>
      </c>
      <c r="H27" s="25">
        <f t="shared" ref="H27:H32" si="2">F27-G27</f>
        <v>-1825.9851453180236</v>
      </c>
      <c r="I27" s="31"/>
      <c r="J27" s="2"/>
      <c r="K27" s="2"/>
      <c r="L27" s="2"/>
      <c r="M27" s="186"/>
      <c r="N27" s="186"/>
    </row>
    <row r="28" spans="2:14" ht="38.25" customHeight="1">
      <c r="B28" s="32" t="s">
        <v>83</v>
      </c>
      <c r="C28" s="20" t="s">
        <v>97</v>
      </c>
      <c r="D28" s="21" t="s">
        <v>98</v>
      </c>
      <c r="E28" s="29">
        <v>0.32</v>
      </c>
      <c r="F28" s="23">
        <f t="shared" si="0"/>
        <v>9820.4243109540639</v>
      </c>
      <c r="G28" s="24">
        <f t="shared" si="1"/>
        <v>10311.445526501768</v>
      </c>
      <c r="H28" s="25">
        <f t="shared" si="2"/>
        <v>-491.02121554770383</v>
      </c>
      <c r="I28" s="33"/>
      <c r="L28" s="5"/>
    </row>
    <row r="29" spans="2:14" ht="25.5">
      <c r="B29" s="32" t="s">
        <v>84</v>
      </c>
      <c r="C29" s="34" t="s">
        <v>99</v>
      </c>
      <c r="D29" s="21" t="s">
        <v>98</v>
      </c>
      <c r="E29" s="29">
        <v>0.22</v>
      </c>
      <c r="F29" s="23">
        <f t="shared" si="0"/>
        <v>6751.5417137809191</v>
      </c>
      <c r="G29" s="24">
        <f t="shared" si="1"/>
        <v>7089.1187994699658</v>
      </c>
      <c r="H29" s="25">
        <f t="shared" si="2"/>
        <v>-337.57708568904673</v>
      </c>
      <c r="I29" s="33"/>
      <c r="L29" s="5"/>
    </row>
    <row r="30" spans="2:14" ht="51">
      <c r="B30" s="28" t="s">
        <v>87</v>
      </c>
      <c r="C30" s="20" t="s">
        <v>137</v>
      </c>
      <c r="D30" s="21" t="s">
        <v>98</v>
      </c>
      <c r="E30" s="29">
        <v>1.18</v>
      </c>
      <c r="F30" s="23">
        <f t="shared" si="0"/>
        <v>36212.814646643106</v>
      </c>
      <c r="G30" s="24">
        <f t="shared" si="1"/>
        <v>38023.455378975268</v>
      </c>
      <c r="H30" s="25">
        <f t="shared" si="2"/>
        <v>-1810.6407323321619</v>
      </c>
      <c r="I30" s="33"/>
    </row>
    <row r="31" spans="2:14" ht="213.75" customHeight="1">
      <c r="B31" s="28" t="s">
        <v>121</v>
      </c>
      <c r="C31" s="20" t="s">
        <v>100</v>
      </c>
      <c r="D31" s="21" t="s">
        <v>98</v>
      </c>
      <c r="E31" s="29">
        <v>5.61</v>
      </c>
      <c r="F31" s="23">
        <f t="shared" si="0"/>
        <v>172164.31370141346</v>
      </c>
      <c r="G31" s="24">
        <f t="shared" si="1"/>
        <v>180772.52938648412</v>
      </c>
      <c r="H31" s="25">
        <f t="shared" si="2"/>
        <v>-8608.215685070667</v>
      </c>
      <c r="I31" s="31"/>
      <c r="J31" s="2"/>
      <c r="K31" s="2"/>
      <c r="L31" s="4"/>
      <c r="M31" s="186"/>
      <c r="N31" s="186"/>
    </row>
    <row r="32" spans="2:14" ht="111" customHeight="1">
      <c r="B32" s="28" t="s">
        <v>102</v>
      </c>
      <c r="C32" s="20" t="s">
        <v>97</v>
      </c>
      <c r="D32" s="21" t="s">
        <v>98</v>
      </c>
      <c r="E32" s="29">
        <v>0.24</v>
      </c>
      <c r="F32" s="23">
        <f t="shared" si="0"/>
        <v>7365.3182332155475</v>
      </c>
      <c r="G32" s="24">
        <f t="shared" ref="G32" si="3">$N$25/$N$26*E32</f>
        <v>7733.5841448763258</v>
      </c>
      <c r="H32" s="25">
        <f t="shared" si="2"/>
        <v>-368.26591166077833</v>
      </c>
      <c r="I32" s="33"/>
    </row>
    <row r="33" spans="2:14" ht="27.75" customHeight="1">
      <c r="B33" s="32" t="s">
        <v>91</v>
      </c>
      <c r="C33" s="20" t="s">
        <v>97</v>
      </c>
      <c r="D33" s="21" t="s">
        <v>98</v>
      </c>
      <c r="E33" s="29">
        <v>4.47</v>
      </c>
      <c r="F33" s="23">
        <v>137179.04999999999</v>
      </c>
      <c r="G33" s="30">
        <v>306975</v>
      </c>
      <c r="H33" s="25">
        <f>F33-G33</f>
        <v>-169795.95</v>
      </c>
      <c r="I33" s="33"/>
      <c r="L33" s="5"/>
    </row>
    <row r="34" spans="2:14" ht="16.5" thickBot="1">
      <c r="B34" s="62" t="s">
        <v>85</v>
      </c>
      <c r="C34" s="36" t="s">
        <v>100</v>
      </c>
      <c r="D34" s="37" t="s">
        <v>98</v>
      </c>
      <c r="E34" s="38">
        <v>1.5</v>
      </c>
      <c r="F34" s="23">
        <f t="shared" si="0"/>
        <v>46033.238957597176</v>
      </c>
      <c r="G34" s="24">
        <f t="shared" ref="G34" si="4">$N$25/$N$26*E34</f>
        <v>48334.900905477036</v>
      </c>
      <c r="H34" s="25">
        <f>F34-G34</f>
        <v>-2301.6619478798602</v>
      </c>
      <c r="I34" s="33"/>
    </row>
    <row r="35" spans="2:14" ht="16.5" thickBot="1">
      <c r="B35" s="39" t="s">
        <v>89</v>
      </c>
      <c r="C35" s="40"/>
      <c r="D35" s="40"/>
      <c r="E35" s="41">
        <f>SUM(E26:E34)</f>
        <v>15.79</v>
      </c>
      <c r="F35" s="42">
        <f>SUM(F26:F34)</f>
        <v>484576.56</v>
      </c>
      <c r="G35" s="43">
        <f>SUM(G26:G34)</f>
        <v>671742.38549999997</v>
      </c>
      <c r="H35" s="44">
        <f>SUM(H26:H34)</f>
        <v>-187165.82550000001</v>
      </c>
      <c r="I35" s="65"/>
    </row>
    <row r="36" spans="2:14">
      <c r="B36" s="5"/>
      <c r="C36" s="5"/>
      <c r="D36" s="5"/>
      <c r="E36" s="14"/>
      <c r="F36" s="14"/>
      <c r="G36" s="14"/>
      <c r="H36" s="3"/>
    </row>
    <row r="37" spans="2:14" ht="16.5" customHeight="1" thickBot="1">
      <c r="B37" s="242" t="s">
        <v>181</v>
      </c>
      <c r="C37" s="242"/>
      <c r="D37" s="242"/>
      <c r="E37" s="242"/>
      <c r="F37" s="242"/>
      <c r="G37" s="242"/>
      <c r="H37" s="242"/>
      <c r="I37" s="45"/>
      <c r="J37" s="45"/>
    </row>
    <row r="38" spans="2:14" ht="40.5" customHeight="1" thickBot="1">
      <c r="B38" s="181" t="s">
        <v>182</v>
      </c>
      <c r="C38" s="228" t="s">
        <v>101</v>
      </c>
      <c r="D38" s="229"/>
      <c r="E38" s="238" t="s">
        <v>9</v>
      </c>
      <c r="F38" s="239"/>
      <c r="G38" s="238" t="s">
        <v>10</v>
      </c>
      <c r="H38" s="245"/>
      <c r="I38" s="170"/>
      <c r="J38" s="159"/>
      <c r="K38" s="46"/>
      <c r="L38" s="47"/>
      <c r="M38" s="187"/>
      <c r="N38" s="187"/>
    </row>
    <row r="39" spans="2:14">
      <c r="B39" s="151" t="s">
        <v>11</v>
      </c>
      <c r="C39" s="230">
        <f>E39+G39</f>
        <v>5143955.8</v>
      </c>
      <c r="D39" s="231"/>
      <c r="E39" s="230">
        <f>F26+F27+F28+F29+F30+F31+F32+F34+E18</f>
        <v>3767246.95</v>
      </c>
      <c r="F39" s="231"/>
      <c r="G39" s="230">
        <f>F33+G18</f>
        <v>1376708.8499999999</v>
      </c>
      <c r="H39" s="246"/>
      <c r="I39" s="160"/>
      <c r="J39" s="161"/>
      <c r="K39" s="49"/>
      <c r="L39" s="49"/>
      <c r="M39" s="188"/>
    </row>
    <row r="40" spans="2:14">
      <c r="B40" s="152" t="s">
        <v>12</v>
      </c>
      <c r="C40" s="232">
        <f>E40+G40</f>
        <v>4892758.54</v>
      </c>
      <c r="D40" s="233"/>
      <c r="E40" s="232">
        <f>E19+273341.36</f>
        <v>3570797.4099999997</v>
      </c>
      <c r="F40" s="233"/>
      <c r="G40" s="232">
        <f>G19+129130.5</f>
        <v>1321961.1300000001</v>
      </c>
      <c r="H40" s="243"/>
      <c r="I40" s="160"/>
      <c r="J40" s="162"/>
      <c r="K40" s="51"/>
      <c r="L40" s="49"/>
      <c r="M40" s="188"/>
    </row>
    <row r="41" spans="2:14" ht="16.5" thickBot="1">
      <c r="B41" s="153" t="s">
        <v>88</v>
      </c>
      <c r="C41" s="234">
        <f>E41+G41</f>
        <v>5224895.6118999999</v>
      </c>
      <c r="D41" s="235"/>
      <c r="E41" s="234">
        <f>G26+G27+G28+G29+G30+G31+G32+G34+E20</f>
        <v>3798713.6118999999</v>
      </c>
      <c r="F41" s="235"/>
      <c r="G41" s="234">
        <f>G33+G20</f>
        <v>1426182</v>
      </c>
      <c r="H41" s="244"/>
      <c r="I41" s="160"/>
      <c r="J41" s="48"/>
      <c r="K41" s="33"/>
      <c r="L41" s="33"/>
    </row>
    <row r="42" spans="2:14" ht="33" customHeight="1" thickBot="1">
      <c r="B42" s="154" t="s">
        <v>147</v>
      </c>
      <c r="C42" s="236">
        <f>E42+G42</f>
        <v>-332137.0719000001</v>
      </c>
      <c r="D42" s="237"/>
      <c r="E42" s="247">
        <f>E40-E41</f>
        <v>-227916.20190000022</v>
      </c>
      <c r="F42" s="248"/>
      <c r="G42" s="247">
        <f>G40-G41</f>
        <v>-104220.86999999988</v>
      </c>
      <c r="H42" s="249"/>
      <c r="I42" s="163"/>
      <c r="J42" s="148"/>
      <c r="K42" s="33"/>
      <c r="L42" s="33"/>
    </row>
    <row r="43" spans="2:14" ht="15.75" customHeight="1">
      <c r="B43" s="76"/>
      <c r="C43" s="146"/>
      <c r="D43" s="146"/>
      <c r="E43" s="148"/>
      <c r="F43" s="148"/>
      <c r="G43" s="148"/>
      <c r="H43" s="148"/>
      <c r="I43" s="171"/>
      <c r="J43" s="31"/>
      <c r="K43" s="2"/>
      <c r="L43" s="2"/>
      <c r="M43" s="186"/>
      <c r="N43" s="186"/>
    </row>
    <row r="44" spans="2:14" ht="15" customHeight="1">
      <c r="B44" s="52" t="s">
        <v>77</v>
      </c>
      <c r="C44" s="225" t="s">
        <v>150</v>
      </c>
      <c r="D44" s="225"/>
      <c r="E44" s="225"/>
      <c r="F44" s="251" t="s">
        <v>174</v>
      </c>
      <c r="G44" s="251"/>
      <c r="H44" s="52"/>
      <c r="I44" s="171"/>
      <c r="J44" s="31"/>
      <c r="K44" s="2"/>
      <c r="L44" s="2"/>
      <c r="M44" s="186"/>
      <c r="N44" s="186"/>
    </row>
    <row r="45" spans="2:14" ht="7.5" customHeight="1">
      <c r="B45" s="52"/>
      <c r="C45" s="53"/>
      <c r="D45" s="53"/>
      <c r="E45" s="211"/>
      <c r="F45" s="252"/>
      <c r="G45" s="252"/>
      <c r="H45" s="52"/>
      <c r="I45" s="52"/>
      <c r="J45" s="2"/>
      <c r="K45" s="2"/>
      <c r="L45" s="2"/>
      <c r="M45" s="186"/>
      <c r="N45" s="186"/>
    </row>
    <row r="46" spans="2:14" ht="16.5" customHeight="1">
      <c r="B46" s="52" t="s">
        <v>78</v>
      </c>
      <c r="C46" s="225" t="s">
        <v>150</v>
      </c>
      <c r="D46" s="225"/>
      <c r="E46" s="225"/>
      <c r="F46" s="251" t="s">
        <v>93</v>
      </c>
      <c r="G46" s="251"/>
      <c r="H46" s="52"/>
      <c r="I46" s="52"/>
    </row>
    <row r="47" spans="2:14" ht="7.5" customHeight="1">
      <c r="B47" s="52"/>
      <c r="C47" s="53"/>
      <c r="D47" s="53"/>
      <c r="E47" s="211"/>
      <c r="F47" s="251"/>
      <c r="G47" s="251"/>
      <c r="H47" s="52"/>
      <c r="I47" s="52"/>
    </row>
    <row r="48" spans="2:14" ht="14.25" customHeight="1">
      <c r="B48" s="52" t="s">
        <v>79</v>
      </c>
      <c r="C48" s="225" t="s">
        <v>151</v>
      </c>
      <c r="D48" s="225"/>
      <c r="E48" s="225"/>
      <c r="F48" s="251" t="s">
        <v>175</v>
      </c>
      <c r="G48" s="251"/>
      <c r="H48" s="52"/>
      <c r="I48" s="6"/>
    </row>
    <row r="49" spans="2:9" ht="5.25" customHeight="1">
      <c r="B49" s="54"/>
      <c r="C49" s="55"/>
      <c r="D49" s="55"/>
      <c r="E49" s="211"/>
      <c r="F49" s="197"/>
      <c r="G49" s="54"/>
      <c r="H49" s="56"/>
      <c r="I49" s="52"/>
    </row>
    <row r="50" spans="2:9" ht="17.25" customHeight="1">
      <c r="B50" s="52" t="s">
        <v>80</v>
      </c>
      <c r="C50" s="225" t="s">
        <v>151</v>
      </c>
      <c r="D50" s="225"/>
      <c r="E50" s="225"/>
      <c r="F50" s="251" t="s">
        <v>175</v>
      </c>
      <c r="G50" s="251"/>
      <c r="H50" s="52"/>
      <c r="I50" s="3"/>
    </row>
    <row r="51" spans="2:9">
      <c r="E51" s="200"/>
    </row>
  </sheetData>
  <mergeCells count="57">
    <mergeCell ref="B1:H1"/>
    <mergeCell ref="G39:H39"/>
    <mergeCell ref="B5:H6"/>
    <mergeCell ref="D8:E8"/>
    <mergeCell ref="B23:H23"/>
    <mergeCell ref="B24:B25"/>
    <mergeCell ref="C24:C25"/>
    <mergeCell ref="D24:D25"/>
    <mergeCell ref="E24:E25"/>
    <mergeCell ref="F24:G24"/>
    <mergeCell ref="H24:H25"/>
    <mergeCell ref="B2:H2"/>
    <mergeCell ref="B3:H3"/>
    <mergeCell ref="B37:H37"/>
    <mergeCell ref="E19:F19"/>
    <mergeCell ref="G19:H19"/>
    <mergeCell ref="C18:D18"/>
    <mergeCell ref="E18:F18"/>
    <mergeCell ref="G18:H18"/>
    <mergeCell ref="C21:D21"/>
    <mergeCell ref="E21:F21"/>
    <mergeCell ref="G21:H21"/>
    <mergeCell ref="C19:D19"/>
    <mergeCell ref="C20:D20"/>
    <mergeCell ref="G20:H20"/>
    <mergeCell ref="E20:F20"/>
    <mergeCell ref="B4:H4"/>
    <mergeCell ref="B16:H16"/>
    <mergeCell ref="C17:D17"/>
    <mergeCell ref="E17:F17"/>
    <mergeCell ref="G17:H17"/>
    <mergeCell ref="G38:H38"/>
    <mergeCell ref="E38:F38"/>
    <mergeCell ref="C40:D40"/>
    <mergeCell ref="C41:D41"/>
    <mergeCell ref="C42:D42"/>
    <mergeCell ref="C46:E46"/>
    <mergeCell ref="C48:E48"/>
    <mergeCell ref="E42:F42"/>
    <mergeCell ref="G41:H41"/>
    <mergeCell ref="G42:H42"/>
    <mergeCell ref="M23:M24"/>
    <mergeCell ref="N23:N24"/>
    <mergeCell ref="C38:D38"/>
    <mergeCell ref="F50:G50"/>
    <mergeCell ref="E39:F39"/>
    <mergeCell ref="F46:G46"/>
    <mergeCell ref="E40:F40"/>
    <mergeCell ref="F47:G47"/>
    <mergeCell ref="E41:F41"/>
    <mergeCell ref="F48:G48"/>
    <mergeCell ref="C50:E50"/>
    <mergeCell ref="G40:H40"/>
    <mergeCell ref="F44:G44"/>
    <mergeCell ref="F45:G45"/>
    <mergeCell ref="C44:E44"/>
    <mergeCell ref="C39:D39"/>
  </mergeCells>
  <printOptions horizontalCentered="1"/>
  <pageMargins left="0.19685039370078741" right="0.19685039370078741" top="0.15748031496062992" bottom="0.23622047244094491" header="0.31496062992125984" footer="0.31496062992125984"/>
  <pageSetup paperSize="9" scale="48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 codeName="Лист12">
    <tabColor rgb="FF0070C0"/>
    <pageSetUpPr fitToPage="1"/>
  </sheetPr>
  <dimension ref="A1:P53"/>
  <sheetViews>
    <sheetView zoomScale="110" zoomScaleNormal="110" workbookViewId="0">
      <selection activeCell="C24" sqref="C24:C25"/>
    </sheetView>
  </sheetViews>
  <sheetFormatPr defaultColWidth="9.140625" defaultRowHeight="15.75" outlineLevelRow="1"/>
  <cols>
    <col min="1" max="1" width="2.85546875" style="1" customWidth="1"/>
    <col min="2" max="2" width="56" style="1" customWidth="1"/>
    <col min="3" max="3" width="15.140625" style="128" customWidth="1"/>
    <col min="4" max="4" width="8.28515625" style="3" customWidth="1"/>
    <col min="5" max="5" width="9.28515625" style="3" customWidth="1"/>
    <col min="6" max="6" width="11.7109375" style="1" customWidth="1"/>
    <col min="7" max="8" width="11" style="1" customWidth="1"/>
    <col min="9" max="9" width="14.85546875" style="1" customWidth="1"/>
    <col min="10" max="10" width="15.7109375" style="1" customWidth="1"/>
    <col min="11" max="12" width="9.140625" style="1"/>
    <col min="13" max="13" width="14.85546875" style="182" customWidth="1"/>
    <col min="14" max="14" width="15.140625" style="182" customWidth="1"/>
    <col min="15" max="16384" width="9.140625" style="1"/>
  </cols>
  <sheetData>
    <row r="1" spans="1:9">
      <c r="B1" s="255" t="s">
        <v>119</v>
      </c>
      <c r="C1" s="255"/>
      <c r="D1" s="255"/>
      <c r="E1" s="255"/>
      <c r="F1" s="255"/>
      <c r="G1" s="255"/>
      <c r="H1" s="255"/>
    </row>
    <row r="2" spans="1:9">
      <c r="B2" s="255" t="s">
        <v>120</v>
      </c>
      <c r="C2" s="255"/>
      <c r="D2" s="255"/>
      <c r="E2" s="255"/>
      <c r="F2" s="255"/>
      <c r="G2" s="255"/>
      <c r="H2" s="255"/>
    </row>
    <row r="3" spans="1:9">
      <c r="B3" s="255" t="s">
        <v>162</v>
      </c>
      <c r="C3" s="255"/>
      <c r="D3" s="255"/>
      <c r="E3" s="255"/>
      <c r="F3" s="255"/>
      <c r="G3" s="255"/>
      <c r="H3" s="255"/>
    </row>
    <row r="4" spans="1:9">
      <c r="B4" s="255" t="s">
        <v>183</v>
      </c>
      <c r="C4" s="255"/>
      <c r="D4" s="255"/>
      <c r="E4" s="255"/>
      <c r="F4" s="255"/>
      <c r="G4" s="255"/>
      <c r="H4" s="255"/>
    </row>
    <row r="5" spans="1:9" ht="19.5" customHeight="1">
      <c r="A5" s="71"/>
      <c r="B5" s="256" t="s">
        <v>177</v>
      </c>
      <c r="C5" s="256"/>
      <c r="D5" s="256"/>
      <c r="E5" s="256"/>
      <c r="F5" s="256"/>
      <c r="G5" s="256"/>
      <c r="H5" s="256"/>
    </row>
    <row r="6" spans="1:9" ht="20.25" customHeight="1">
      <c r="A6" s="71"/>
      <c r="B6" s="256"/>
      <c r="C6" s="256"/>
      <c r="D6" s="256"/>
      <c r="E6" s="256"/>
      <c r="F6" s="256"/>
      <c r="G6" s="256"/>
      <c r="H6" s="256"/>
    </row>
    <row r="7" spans="1:9" ht="8.25" customHeight="1"/>
    <row r="8" spans="1:9">
      <c r="B8" s="164" t="s">
        <v>0</v>
      </c>
      <c r="C8" s="175"/>
      <c r="D8" s="263" t="s">
        <v>46</v>
      </c>
      <c r="E8" s="263"/>
      <c r="F8" s="164"/>
    </row>
    <row r="9" spans="1:9">
      <c r="B9" s="164" t="s">
        <v>1</v>
      </c>
      <c r="C9" s="175"/>
      <c r="D9" s="203">
        <v>2009</v>
      </c>
      <c r="E9" s="203"/>
      <c r="F9" s="164"/>
    </row>
    <row r="10" spans="1:9" ht="15.75" hidden="1" customHeight="1" outlineLevel="1">
      <c r="B10" s="164" t="s">
        <v>2</v>
      </c>
      <c r="C10" s="175"/>
      <c r="D10" s="203">
        <v>5</v>
      </c>
      <c r="E10" s="203"/>
      <c r="F10" s="164"/>
    </row>
    <row r="11" spans="1:9" ht="15.75" hidden="1" customHeight="1" outlineLevel="1">
      <c r="B11" s="164" t="s">
        <v>3</v>
      </c>
      <c r="C11" s="175"/>
      <c r="D11" s="203">
        <v>40</v>
      </c>
      <c r="E11" s="203"/>
      <c r="F11" s="164"/>
    </row>
    <row r="12" spans="1:9" ht="30.75" hidden="1" customHeight="1" outlineLevel="1">
      <c r="B12" s="166" t="s">
        <v>4</v>
      </c>
      <c r="C12" s="176"/>
      <c r="D12" s="203" t="s">
        <v>47</v>
      </c>
      <c r="E12" s="203"/>
      <c r="F12" s="164"/>
    </row>
    <row r="13" spans="1:9" collapsed="1">
      <c r="B13" s="164" t="s">
        <v>5</v>
      </c>
      <c r="C13" s="175"/>
      <c r="D13" s="203" t="s">
        <v>125</v>
      </c>
      <c r="E13" s="203"/>
      <c r="F13" s="164"/>
      <c r="I13" s="5"/>
    </row>
    <row r="14" spans="1:9" ht="15.75" hidden="1" customHeight="1" outlineLevel="1">
      <c r="B14" s="1" t="s">
        <v>6</v>
      </c>
      <c r="D14" s="157" t="s">
        <v>7</v>
      </c>
      <c r="E14" s="157"/>
    </row>
    <row r="15" spans="1:9" ht="30.75" hidden="1" customHeight="1" outlineLevel="1">
      <c r="B15" s="15" t="s">
        <v>8</v>
      </c>
      <c r="C15" s="129"/>
      <c r="D15" s="204" t="s">
        <v>45</v>
      </c>
      <c r="E15" s="157"/>
      <c r="I15" s="5"/>
    </row>
    <row r="16" spans="1:9" ht="16.5" collapsed="1" thickBot="1">
      <c r="B16" s="242" t="s">
        <v>176</v>
      </c>
      <c r="C16" s="242"/>
      <c r="D16" s="242"/>
      <c r="E16" s="242"/>
      <c r="F16" s="242"/>
      <c r="G16" s="242"/>
      <c r="H16" s="242"/>
      <c r="I16" s="5"/>
    </row>
    <row r="17" spans="2:16" ht="39" customHeight="1" thickBot="1">
      <c r="B17" s="181" t="s">
        <v>178</v>
      </c>
      <c r="C17" s="228" t="s">
        <v>101</v>
      </c>
      <c r="D17" s="229"/>
      <c r="E17" s="238" t="s">
        <v>9</v>
      </c>
      <c r="F17" s="239"/>
      <c r="G17" s="238" t="s">
        <v>10</v>
      </c>
      <c r="H17" s="245"/>
      <c r="I17" s="5"/>
    </row>
    <row r="18" spans="2:16">
      <c r="B18" s="151" t="s">
        <v>11</v>
      </c>
      <c r="C18" s="268">
        <v>2802704.02</v>
      </c>
      <c r="D18" s="281"/>
      <c r="E18" s="268">
        <v>2191736.02</v>
      </c>
      <c r="F18" s="281"/>
      <c r="G18" s="268">
        <v>610968.00000000012</v>
      </c>
      <c r="H18" s="287"/>
      <c r="I18" s="5"/>
    </row>
    <row r="19" spans="2:16">
      <c r="B19" s="152" t="s">
        <v>12</v>
      </c>
      <c r="C19" s="232">
        <v>2651710.0100000002</v>
      </c>
      <c r="D19" s="282"/>
      <c r="E19" s="232">
        <v>2069386.2100000002</v>
      </c>
      <c r="F19" s="282"/>
      <c r="G19" s="232">
        <v>582323.79999999993</v>
      </c>
      <c r="H19" s="288"/>
      <c r="I19" s="5"/>
    </row>
    <row r="20" spans="2:16" ht="16.5" thickBot="1">
      <c r="B20" s="153" t="s">
        <v>88</v>
      </c>
      <c r="C20" s="271">
        <v>2918789.7258999995</v>
      </c>
      <c r="D20" s="278"/>
      <c r="E20" s="271">
        <v>2210992.7258999995</v>
      </c>
      <c r="F20" s="278"/>
      <c r="G20" s="271">
        <v>707797</v>
      </c>
      <c r="H20" s="286"/>
      <c r="I20" s="5"/>
    </row>
    <row r="21" spans="2:16" ht="36.75" thickBot="1">
      <c r="B21" s="154" t="s">
        <v>146</v>
      </c>
      <c r="C21" s="236">
        <f>E21+G21</f>
        <v>-267079.71589999937</v>
      </c>
      <c r="D21" s="279"/>
      <c r="E21" s="247">
        <f>E19-E20</f>
        <v>-141606.5158999993</v>
      </c>
      <c r="F21" s="279"/>
      <c r="G21" s="247">
        <f>G19-G20</f>
        <v>-125473.20000000007</v>
      </c>
      <c r="H21" s="289"/>
      <c r="I21" s="5"/>
    </row>
    <row r="22" spans="2:16">
      <c r="B22" s="15"/>
      <c r="C22" s="129"/>
      <c r="D22" s="204"/>
      <c r="E22" s="157"/>
      <c r="I22" s="5"/>
    </row>
    <row r="23" spans="2:16" ht="34.5" customHeight="1" thickBot="1">
      <c r="B23" s="265" t="s">
        <v>179</v>
      </c>
      <c r="C23" s="265"/>
      <c r="D23" s="265"/>
      <c r="E23" s="265"/>
      <c r="F23" s="265"/>
      <c r="G23" s="265"/>
      <c r="H23" s="265"/>
      <c r="L23" s="5"/>
      <c r="M23" s="226" t="s">
        <v>148</v>
      </c>
      <c r="N23" s="226" t="s">
        <v>149</v>
      </c>
    </row>
    <row r="24" spans="2:16" s="199" customFormat="1" ht="32.25" customHeight="1">
      <c r="B24" s="261" t="s">
        <v>94</v>
      </c>
      <c r="C24" s="259" t="s">
        <v>95</v>
      </c>
      <c r="D24" s="259" t="s">
        <v>116</v>
      </c>
      <c r="E24" s="266" t="s">
        <v>180</v>
      </c>
      <c r="F24" s="240" t="s">
        <v>96</v>
      </c>
      <c r="G24" s="241"/>
      <c r="H24" s="257" t="s">
        <v>122</v>
      </c>
      <c r="I24" s="1"/>
      <c r="J24" s="1"/>
      <c r="K24" s="1"/>
      <c r="L24" s="5"/>
      <c r="M24" s="295"/>
      <c r="N24" s="295"/>
      <c r="O24" s="1"/>
      <c r="P24" s="1"/>
    </row>
    <row r="25" spans="2:16" s="2" customFormat="1" ht="53.25" customHeight="1" thickBot="1">
      <c r="B25" s="262"/>
      <c r="C25" s="260"/>
      <c r="D25" s="260"/>
      <c r="E25" s="267"/>
      <c r="F25" s="17" t="s">
        <v>81</v>
      </c>
      <c r="G25" s="18" t="s">
        <v>82</v>
      </c>
      <c r="H25" s="258"/>
      <c r="I25" s="1"/>
      <c r="J25" s="1"/>
      <c r="K25" s="1"/>
      <c r="L25" s="1"/>
      <c r="M25" s="183">
        <v>217996.98</v>
      </c>
      <c r="N25" s="183">
        <f>M25*1.05</f>
        <v>228896.82900000003</v>
      </c>
      <c r="O25" s="1"/>
      <c r="P25" s="1"/>
    </row>
    <row r="26" spans="2:16" ht="45" customHeight="1">
      <c r="B26" s="19" t="s">
        <v>86</v>
      </c>
      <c r="C26" s="20" t="s">
        <v>97</v>
      </c>
      <c r="D26" s="21" t="s">
        <v>98</v>
      </c>
      <c r="E26" s="22">
        <v>1.06</v>
      </c>
      <c r="F26" s="23">
        <f>$M$25/$M$26*E26</f>
        <v>22992.716298507465</v>
      </c>
      <c r="G26" s="24">
        <f>$N$25/$N$26*E26</f>
        <v>24142.35211343284</v>
      </c>
      <c r="H26" s="25">
        <f>F26-G26</f>
        <v>-1149.6358149253756</v>
      </c>
      <c r="I26" s="26"/>
      <c r="J26" s="199"/>
      <c r="K26" s="199"/>
      <c r="L26" s="27"/>
      <c r="M26" s="185">
        <f>E36-E33</f>
        <v>10.050000000000001</v>
      </c>
      <c r="N26" s="185">
        <f>E36-E33</f>
        <v>10.050000000000001</v>
      </c>
    </row>
    <row r="27" spans="2:16" ht="51">
      <c r="B27" s="28" t="s">
        <v>90</v>
      </c>
      <c r="C27" s="20" t="s">
        <v>97</v>
      </c>
      <c r="D27" s="21" t="s">
        <v>98</v>
      </c>
      <c r="E27" s="29">
        <v>1.19</v>
      </c>
      <c r="F27" s="23">
        <f t="shared" ref="F27:F34" si="0">$M$25/$M$26*E27</f>
        <v>25812.577731343285</v>
      </c>
      <c r="G27" s="24">
        <f t="shared" ref="G27:G31" si="1">$N$25/$N$26*E27</f>
        <v>27103.206617910448</v>
      </c>
      <c r="H27" s="25">
        <f t="shared" ref="H27:H32" si="2">F27-G27</f>
        <v>-1290.6288865671631</v>
      </c>
      <c r="I27" s="31"/>
      <c r="J27" s="2"/>
      <c r="K27" s="2"/>
      <c r="L27" s="2"/>
      <c r="M27" s="186"/>
      <c r="N27" s="186"/>
    </row>
    <row r="28" spans="2:16" ht="37.5" customHeight="1">
      <c r="B28" s="32" t="s">
        <v>83</v>
      </c>
      <c r="C28" s="20" t="s">
        <v>97</v>
      </c>
      <c r="D28" s="21" t="s">
        <v>98</v>
      </c>
      <c r="E28" s="29">
        <v>0.32</v>
      </c>
      <c r="F28" s="23">
        <f t="shared" si="0"/>
        <v>6941.1973731343287</v>
      </c>
      <c r="G28" s="24">
        <f t="shared" si="1"/>
        <v>7288.257241791046</v>
      </c>
      <c r="H28" s="25">
        <f t="shared" si="2"/>
        <v>-347.0598686567173</v>
      </c>
      <c r="I28" s="33"/>
      <c r="L28" s="5"/>
    </row>
    <row r="29" spans="2:16" ht="25.5">
      <c r="B29" s="32" t="s">
        <v>84</v>
      </c>
      <c r="C29" s="34" t="s">
        <v>99</v>
      </c>
      <c r="D29" s="21" t="s">
        <v>98</v>
      </c>
      <c r="E29" s="29">
        <v>0.13</v>
      </c>
      <c r="F29" s="23">
        <f t="shared" si="0"/>
        <v>2819.8614328358212</v>
      </c>
      <c r="G29" s="24">
        <f t="shared" si="1"/>
        <v>2960.8545044776124</v>
      </c>
      <c r="H29" s="25">
        <f t="shared" si="2"/>
        <v>-140.99307164179118</v>
      </c>
      <c r="I29" s="33"/>
      <c r="L29" s="5"/>
    </row>
    <row r="30" spans="2:16" s="2" customFormat="1" ht="51">
      <c r="B30" s="28" t="s">
        <v>87</v>
      </c>
      <c r="C30" s="20" t="s">
        <v>137</v>
      </c>
      <c r="D30" s="21" t="s">
        <v>98</v>
      </c>
      <c r="E30" s="29">
        <v>1.18</v>
      </c>
      <c r="F30" s="23">
        <f t="shared" si="0"/>
        <v>25595.665313432833</v>
      </c>
      <c r="G30" s="24">
        <f t="shared" si="1"/>
        <v>26875.448579104479</v>
      </c>
      <c r="H30" s="25">
        <f t="shared" si="2"/>
        <v>-1279.7832656716455</v>
      </c>
      <c r="I30" s="33"/>
      <c r="J30" s="1"/>
      <c r="K30" s="1"/>
      <c r="L30" s="1"/>
      <c r="M30" s="182"/>
      <c r="N30" s="182"/>
      <c r="O30" s="1"/>
      <c r="P30" s="1"/>
    </row>
    <row r="31" spans="2:16" ht="225" customHeight="1">
      <c r="B31" s="28" t="s">
        <v>121</v>
      </c>
      <c r="C31" s="20" t="s">
        <v>100</v>
      </c>
      <c r="D31" s="21" t="s">
        <v>98</v>
      </c>
      <c r="E31" s="29">
        <v>5.14</v>
      </c>
      <c r="F31" s="23">
        <f t="shared" si="0"/>
        <v>111492.98280597014</v>
      </c>
      <c r="G31" s="24">
        <f t="shared" si="1"/>
        <v>117067.63194626867</v>
      </c>
      <c r="H31" s="25">
        <f t="shared" si="2"/>
        <v>-5574.6491402985266</v>
      </c>
      <c r="I31" s="31"/>
      <c r="J31" s="2"/>
      <c r="K31" s="2"/>
      <c r="L31" s="4"/>
      <c r="M31" s="186"/>
      <c r="N31" s="186"/>
    </row>
    <row r="32" spans="2:16" ht="114" customHeight="1">
      <c r="B32" s="28" t="s">
        <v>102</v>
      </c>
      <c r="C32" s="20" t="s">
        <v>97</v>
      </c>
      <c r="D32" s="21" t="s">
        <v>98</v>
      </c>
      <c r="E32" s="29">
        <v>0.24</v>
      </c>
      <c r="F32" s="23">
        <f t="shared" si="0"/>
        <v>5205.8980298507458</v>
      </c>
      <c r="G32" s="24">
        <f t="shared" ref="G32:G34" si="3">$N$25/$N$26*E32</f>
        <v>5466.1929313432838</v>
      </c>
      <c r="H32" s="25">
        <f t="shared" si="2"/>
        <v>-260.29490149253797</v>
      </c>
      <c r="I32" s="33"/>
    </row>
    <row r="33" spans="2:16" ht="27.75" customHeight="1">
      <c r="B33" s="32" t="s">
        <v>91</v>
      </c>
      <c r="C33" s="20" t="s">
        <v>97</v>
      </c>
      <c r="D33" s="21" t="s">
        <v>98</v>
      </c>
      <c r="E33" s="29">
        <v>4.2</v>
      </c>
      <c r="F33" s="23">
        <v>91103.22</v>
      </c>
      <c r="G33" s="30">
        <v>30633</v>
      </c>
      <c r="H33" s="25">
        <f>F33-G33</f>
        <v>60470.22</v>
      </c>
      <c r="I33" s="33"/>
      <c r="L33" s="5"/>
    </row>
    <row r="34" spans="2:16">
      <c r="B34" s="32" t="s">
        <v>92</v>
      </c>
      <c r="C34" s="34" t="s">
        <v>99</v>
      </c>
      <c r="D34" s="21" t="s">
        <v>98</v>
      </c>
      <c r="E34" s="29">
        <v>0.48</v>
      </c>
      <c r="F34" s="23">
        <f t="shared" si="0"/>
        <v>10411.796059701492</v>
      </c>
      <c r="G34" s="24">
        <f t="shared" si="3"/>
        <v>10932.385862686568</v>
      </c>
      <c r="H34" s="25">
        <f t="shared" ref="H34:H35" si="4">F34-G34</f>
        <v>-520.58980298507595</v>
      </c>
      <c r="I34" s="33"/>
      <c r="J34" s="64"/>
      <c r="K34" s="64"/>
      <c r="L34" s="5"/>
      <c r="M34" s="187"/>
    </row>
    <row r="35" spans="2:16">
      <c r="B35" s="32" t="s">
        <v>85</v>
      </c>
      <c r="C35" s="130" t="s">
        <v>100</v>
      </c>
      <c r="D35" s="21" t="s">
        <v>98</v>
      </c>
      <c r="E35" s="29">
        <v>0.31</v>
      </c>
      <c r="F35" s="23">
        <f t="shared" ref="F35" si="5">$M$25/$M$26*E35</f>
        <v>6724.2849552238804</v>
      </c>
      <c r="G35" s="24">
        <f t="shared" ref="G35" si="6">$N$25/$N$26*E35</f>
        <v>7060.4992029850755</v>
      </c>
      <c r="H35" s="25">
        <f t="shared" si="4"/>
        <v>-336.21424776119511</v>
      </c>
      <c r="I35" s="33"/>
    </row>
    <row r="36" spans="2:16" s="66" customFormat="1" ht="16.5" thickBot="1">
      <c r="B36" s="131" t="s">
        <v>89</v>
      </c>
      <c r="C36" s="132"/>
      <c r="D36" s="132"/>
      <c r="E36" s="133">
        <f>SUM(E26:E35)</f>
        <v>14.250000000000002</v>
      </c>
      <c r="F36" s="134">
        <f>SUM(F26:F35)</f>
        <v>309100.19999999995</v>
      </c>
      <c r="G36" s="135">
        <f>SUM(G26:G35)</f>
        <v>259529.82900000003</v>
      </c>
      <c r="H36" s="136">
        <f>SUM(H26:H35)</f>
        <v>49570.37099999997</v>
      </c>
      <c r="I36" s="65"/>
      <c r="J36" s="1"/>
      <c r="K36" s="1"/>
      <c r="L36" s="1"/>
      <c r="M36" s="182"/>
      <c r="N36" s="182"/>
      <c r="O36" s="1"/>
      <c r="P36" s="1"/>
    </row>
    <row r="37" spans="2:16" s="3" customFormat="1">
      <c r="B37" s="5"/>
      <c r="C37" s="5"/>
      <c r="D37" s="5"/>
      <c r="E37" s="14"/>
      <c r="F37" s="14"/>
      <c r="G37" s="14"/>
      <c r="I37" s="1"/>
      <c r="J37" s="1"/>
      <c r="K37" s="1"/>
      <c r="L37" s="1"/>
      <c r="M37" s="182"/>
      <c r="N37" s="182"/>
      <c r="O37" s="1"/>
      <c r="P37" s="1"/>
    </row>
    <row r="38" spans="2:16" ht="16.5" customHeight="1" thickBot="1">
      <c r="B38" s="242" t="s">
        <v>181</v>
      </c>
      <c r="C38" s="242"/>
      <c r="D38" s="242"/>
      <c r="E38" s="242"/>
      <c r="F38" s="242"/>
      <c r="G38" s="242"/>
      <c r="H38" s="242"/>
      <c r="I38" s="45"/>
      <c r="J38" s="45"/>
    </row>
    <row r="39" spans="2:16" ht="45.75" customHeight="1" thickBot="1">
      <c r="B39" s="181" t="s">
        <v>182</v>
      </c>
      <c r="C39" s="228" t="s">
        <v>101</v>
      </c>
      <c r="D39" s="229"/>
      <c r="E39" s="238" t="s">
        <v>9</v>
      </c>
      <c r="F39" s="239"/>
      <c r="G39" s="238" t="s">
        <v>10</v>
      </c>
      <c r="H39" s="245"/>
      <c r="I39" s="158"/>
      <c r="J39" s="159"/>
      <c r="K39" s="46"/>
      <c r="L39" s="47"/>
      <c r="M39" s="187"/>
      <c r="N39" s="187"/>
    </row>
    <row r="40" spans="2:16">
      <c r="B40" s="151" t="s">
        <v>11</v>
      </c>
      <c r="C40" s="268">
        <f>E40+G40</f>
        <v>3111804.24</v>
      </c>
      <c r="D40" s="281"/>
      <c r="E40" s="268">
        <f>F27+F28+F29+F30+F31+F34+F32+F35+E18+F26</f>
        <v>2409733</v>
      </c>
      <c r="F40" s="281"/>
      <c r="G40" s="268">
        <f>F33+G18+0.02</f>
        <v>702071.24000000011</v>
      </c>
      <c r="H40" s="287"/>
      <c r="I40" s="160"/>
      <c r="J40" s="161"/>
      <c r="K40" s="49"/>
      <c r="L40" s="49"/>
      <c r="M40" s="188"/>
    </row>
    <row r="41" spans="2:16">
      <c r="B41" s="152" t="s">
        <v>12</v>
      </c>
      <c r="C41" s="232">
        <f>E41+G41</f>
        <v>2953050.27</v>
      </c>
      <c r="D41" s="282"/>
      <c r="E41" s="232">
        <f>E19+212609.76</f>
        <v>2281995.9700000002</v>
      </c>
      <c r="F41" s="282"/>
      <c r="G41" s="232">
        <f>G19+88730.5</f>
        <v>671054.29999999993</v>
      </c>
      <c r="H41" s="288"/>
      <c r="I41" s="160"/>
      <c r="J41" s="162"/>
      <c r="K41" s="51"/>
      <c r="L41" s="49"/>
      <c r="M41" s="188"/>
    </row>
    <row r="42" spans="2:16" s="2" customFormat="1" ht="16.5" thickBot="1">
      <c r="B42" s="153" t="s">
        <v>88</v>
      </c>
      <c r="C42" s="271">
        <f>E42+G42</f>
        <v>3178319.5548999994</v>
      </c>
      <c r="D42" s="278"/>
      <c r="E42" s="271">
        <f>G27+G28+G29+G30+G31+G32+G34+G35+E20+G26</f>
        <v>2439889.5548999994</v>
      </c>
      <c r="F42" s="278"/>
      <c r="G42" s="271">
        <f>G33+G20</f>
        <v>738430</v>
      </c>
      <c r="H42" s="286"/>
      <c r="I42" s="160"/>
      <c r="J42" s="48"/>
      <c r="K42" s="33"/>
      <c r="L42" s="33"/>
      <c r="M42" s="182"/>
      <c r="N42" s="182"/>
      <c r="O42" s="1"/>
      <c r="P42" s="1"/>
    </row>
    <row r="43" spans="2:16" s="2" customFormat="1" ht="28.5" customHeight="1" thickBot="1">
      <c r="B43" s="154" t="s">
        <v>147</v>
      </c>
      <c r="C43" s="236">
        <f>E43+G43</f>
        <v>-225269.28489999927</v>
      </c>
      <c r="D43" s="279"/>
      <c r="E43" s="247">
        <f>E41-E42</f>
        <v>-157893.5848999992</v>
      </c>
      <c r="F43" s="279"/>
      <c r="G43" s="247">
        <f>G41-G42</f>
        <v>-67375.70000000007</v>
      </c>
      <c r="H43" s="289"/>
      <c r="I43" s="163"/>
      <c r="J43" s="148"/>
      <c r="K43" s="33"/>
      <c r="L43" s="33"/>
      <c r="M43" s="182"/>
      <c r="N43" s="182"/>
      <c r="O43" s="1"/>
      <c r="P43" s="1"/>
    </row>
    <row r="44" spans="2:16" s="2" customFormat="1" ht="18" customHeight="1">
      <c r="B44" s="76"/>
      <c r="C44" s="146"/>
      <c r="D44" s="146"/>
      <c r="E44" s="148"/>
      <c r="F44" s="148"/>
      <c r="G44" s="148"/>
      <c r="H44" s="148"/>
      <c r="I44" s="52"/>
      <c r="M44" s="186"/>
      <c r="N44" s="186"/>
      <c r="O44" s="1"/>
      <c r="P44" s="1"/>
    </row>
    <row r="45" spans="2:16" ht="16.5" customHeight="1">
      <c r="B45" s="52" t="s">
        <v>77</v>
      </c>
      <c r="C45" s="225" t="s">
        <v>150</v>
      </c>
      <c r="D45" s="225"/>
      <c r="E45" s="225"/>
      <c r="F45" s="251" t="s">
        <v>174</v>
      </c>
      <c r="G45" s="251"/>
      <c r="H45" s="52"/>
      <c r="I45" s="52"/>
      <c r="J45" s="2"/>
      <c r="K45" s="2"/>
      <c r="L45" s="2"/>
      <c r="M45" s="186"/>
      <c r="N45" s="186"/>
    </row>
    <row r="46" spans="2:16" ht="8.25" customHeight="1">
      <c r="B46" s="52"/>
      <c r="C46" s="53"/>
      <c r="D46" s="53"/>
      <c r="E46" s="211"/>
      <c r="F46" s="252"/>
      <c r="G46" s="252"/>
      <c r="H46" s="52"/>
      <c r="I46" s="52"/>
      <c r="J46" s="2"/>
      <c r="K46" s="2"/>
      <c r="L46" s="2"/>
      <c r="M46" s="186"/>
      <c r="N46" s="186"/>
    </row>
    <row r="47" spans="2:16" ht="15.75" customHeight="1">
      <c r="B47" s="52" t="s">
        <v>78</v>
      </c>
      <c r="C47" s="225" t="s">
        <v>150</v>
      </c>
      <c r="D47" s="225"/>
      <c r="E47" s="225"/>
      <c r="F47" s="251" t="s">
        <v>93</v>
      </c>
      <c r="G47" s="251"/>
      <c r="H47" s="52"/>
      <c r="I47" s="52"/>
    </row>
    <row r="48" spans="2:16" ht="9.75" customHeight="1">
      <c r="B48" s="52"/>
      <c r="C48" s="53"/>
      <c r="D48" s="53"/>
      <c r="E48" s="211"/>
      <c r="F48" s="251"/>
      <c r="G48" s="251"/>
      <c r="H48" s="52"/>
      <c r="I48" s="52"/>
    </row>
    <row r="49" spans="2:9" ht="13.5" customHeight="1">
      <c r="B49" s="52" t="s">
        <v>79</v>
      </c>
      <c r="C49" s="225" t="s">
        <v>151</v>
      </c>
      <c r="D49" s="225"/>
      <c r="E49" s="225"/>
      <c r="F49" s="251" t="s">
        <v>175</v>
      </c>
      <c r="G49" s="251"/>
      <c r="H49" s="52"/>
      <c r="I49" s="6"/>
    </row>
    <row r="50" spans="2:9" ht="6.75" customHeight="1">
      <c r="B50" s="54"/>
      <c r="C50" s="55"/>
      <c r="D50" s="55"/>
      <c r="E50" s="211"/>
      <c r="F50" s="197"/>
      <c r="G50" s="54"/>
      <c r="H50" s="56"/>
      <c r="I50" s="52"/>
    </row>
    <row r="51" spans="2:9" ht="14.25" customHeight="1">
      <c r="B51" s="52" t="s">
        <v>80</v>
      </c>
      <c r="C51" s="225" t="s">
        <v>151</v>
      </c>
      <c r="D51" s="225"/>
      <c r="E51" s="225"/>
      <c r="F51" s="251" t="s">
        <v>175</v>
      </c>
      <c r="G51" s="251"/>
      <c r="H51" s="52"/>
      <c r="I51" s="3"/>
    </row>
    <row r="52" spans="2:9">
      <c r="B52" s="8"/>
      <c r="C52" s="69"/>
      <c r="D52" s="70"/>
      <c r="E52" s="70"/>
      <c r="F52" s="8"/>
      <c r="G52" s="8"/>
    </row>
    <row r="53" spans="2:9">
      <c r="C53" s="1"/>
      <c r="D53" s="1"/>
      <c r="E53" s="1"/>
    </row>
  </sheetData>
  <mergeCells count="57">
    <mergeCell ref="B1:H1"/>
    <mergeCell ref="D8:E8"/>
    <mergeCell ref="B5:H6"/>
    <mergeCell ref="B38:H38"/>
    <mergeCell ref="B23:H23"/>
    <mergeCell ref="B24:B25"/>
    <mergeCell ref="C24:C25"/>
    <mergeCell ref="D24:D25"/>
    <mergeCell ref="E24:E25"/>
    <mergeCell ref="F24:G24"/>
    <mergeCell ref="H24:H25"/>
    <mergeCell ref="B2:H2"/>
    <mergeCell ref="B3:H3"/>
    <mergeCell ref="B4:H4"/>
    <mergeCell ref="F51:G51"/>
    <mergeCell ref="E41:F41"/>
    <mergeCell ref="F48:G48"/>
    <mergeCell ref="E42:F42"/>
    <mergeCell ref="E43:F43"/>
    <mergeCell ref="C49:E49"/>
    <mergeCell ref="F49:G49"/>
    <mergeCell ref="C51:E51"/>
    <mergeCell ref="F46:G46"/>
    <mergeCell ref="E40:F40"/>
    <mergeCell ref="F47:G47"/>
    <mergeCell ref="F45:G45"/>
    <mergeCell ref="G42:H42"/>
    <mergeCell ref="G43:H43"/>
    <mergeCell ref="C47:E47"/>
    <mergeCell ref="C40:D40"/>
    <mergeCell ref="C41:D41"/>
    <mergeCell ref="C42:D42"/>
    <mergeCell ref="C43:D43"/>
    <mergeCell ref="C45:E45"/>
    <mergeCell ref="G41:H41"/>
    <mergeCell ref="G40:H40"/>
    <mergeCell ref="C39:D39"/>
    <mergeCell ref="B16:H16"/>
    <mergeCell ref="C17:D17"/>
    <mergeCell ref="E17:F17"/>
    <mergeCell ref="G17:H17"/>
    <mergeCell ref="C18:D18"/>
    <mergeCell ref="E18:F18"/>
    <mergeCell ref="G18:H18"/>
    <mergeCell ref="G39:H39"/>
    <mergeCell ref="E39:F39"/>
    <mergeCell ref="M23:M24"/>
    <mergeCell ref="N23:N24"/>
    <mergeCell ref="C19:D19"/>
    <mergeCell ref="E19:F19"/>
    <mergeCell ref="G19:H19"/>
    <mergeCell ref="C20:D20"/>
    <mergeCell ref="E20:F20"/>
    <mergeCell ref="G20:H20"/>
    <mergeCell ref="C21:D21"/>
    <mergeCell ref="E21:F21"/>
    <mergeCell ref="G21:H21"/>
  </mergeCells>
  <printOptions horizontalCentered="1"/>
  <pageMargins left="0.19685039370078741" right="0.19685039370078741" top="0.15748031496062992" bottom="0.23622047244094491" header="0.15" footer="0.31496062992125984"/>
  <pageSetup paperSize="9" scale="4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 codeName="Лист13">
    <tabColor rgb="FF0070C0"/>
    <pageSetUpPr fitToPage="1"/>
  </sheetPr>
  <dimension ref="B1:N51"/>
  <sheetViews>
    <sheetView zoomScale="110" zoomScaleNormal="110" workbookViewId="0">
      <selection activeCell="C24" sqref="C24:C25"/>
    </sheetView>
  </sheetViews>
  <sheetFormatPr defaultColWidth="9.140625" defaultRowHeight="15.75" outlineLevelRow="1"/>
  <cols>
    <col min="1" max="1" width="2.85546875" style="1" customWidth="1"/>
    <col min="2" max="2" width="55.7109375" style="1" customWidth="1"/>
    <col min="3" max="3" width="14.85546875" style="128" customWidth="1"/>
    <col min="4" max="4" width="8.85546875" style="3" customWidth="1"/>
    <col min="5" max="5" width="10.140625" style="3" customWidth="1"/>
    <col min="6" max="6" width="10.140625" style="1" customWidth="1"/>
    <col min="7" max="7" width="10.28515625" style="1" customWidth="1"/>
    <col min="8" max="8" width="10.85546875" style="1" customWidth="1"/>
    <col min="9" max="10" width="14.5703125" style="1" customWidth="1"/>
    <col min="11" max="12" width="9.140625" style="1"/>
    <col min="13" max="13" width="15.140625" style="182" customWidth="1"/>
    <col min="14" max="14" width="14.85546875" style="182" customWidth="1"/>
    <col min="15" max="16384" width="9.140625" style="1"/>
  </cols>
  <sheetData>
    <row r="1" spans="2:9">
      <c r="B1" s="255" t="s">
        <v>119</v>
      </c>
      <c r="C1" s="255"/>
      <c r="D1" s="255"/>
      <c r="E1" s="255"/>
      <c r="F1" s="255"/>
      <c r="G1" s="255"/>
      <c r="H1" s="255"/>
    </row>
    <row r="2" spans="2:9">
      <c r="B2" s="255" t="s">
        <v>120</v>
      </c>
      <c r="C2" s="255"/>
      <c r="D2" s="255"/>
      <c r="E2" s="255"/>
      <c r="F2" s="255"/>
      <c r="G2" s="255"/>
      <c r="H2" s="255"/>
    </row>
    <row r="3" spans="2:9">
      <c r="B3" s="255" t="s">
        <v>163</v>
      </c>
      <c r="C3" s="255"/>
      <c r="D3" s="255"/>
      <c r="E3" s="255"/>
      <c r="F3" s="255"/>
      <c r="G3" s="255"/>
      <c r="H3" s="255"/>
    </row>
    <row r="4" spans="2:9">
      <c r="B4" s="255" t="s">
        <v>183</v>
      </c>
      <c r="C4" s="255"/>
      <c r="D4" s="255"/>
      <c r="E4" s="255"/>
      <c r="F4" s="255"/>
      <c r="G4" s="255"/>
      <c r="H4" s="255"/>
    </row>
    <row r="5" spans="2:9" ht="23.25" customHeight="1">
      <c r="B5" s="256" t="s">
        <v>177</v>
      </c>
      <c r="C5" s="256"/>
      <c r="D5" s="256"/>
      <c r="E5" s="256"/>
      <c r="F5" s="256"/>
      <c r="G5" s="256"/>
      <c r="H5" s="256"/>
    </row>
    <row r="6" spans="2:9" ht="20.25" customHeight="1">
      <c r="B6" s="256"/>
      <c r="C6" s="256"/>
      <c r="D6" s="256"/>
      <c r="E6" s="256"/>
      <c r="F6" s="256"/>
      <c r="G6" s="256"/>
      <c r="H6" s="256"/>
    </row>
    <row r="7" spans="2:9" ht="8.25" customHeight="1"/>
    <row r="8" spans="2:9">
      <c r="B8" s="164" t="s">
        <v>0</v>
      </c>
      <c r="C8" s="175"/>
      <c r="D8" s="263" t="s">
        <v>48</v>
      </c>
      <c r="E8" s="263"/>
    </row>
    <row r="9" spans="2:9">
      <c r="B9" s="164" t="s">
        <v>1</v>
      </c>
      <c r="C9" s="175"/>
      <c r="D9" s="203">
        <v>1970</v>
      </c>
      <c r="E9" s="203"/>
    </row>
    <row r="10" spans="2:9" hidden="1" outlineLevel="1">
      <c r="B10" s="164" t="s">
        <v>2</v>
      </c>
      <c r="C10" s="175"/>
      <c r="D10" s="203">
        <v>4</v>
      </c>
      <c r="E10" s="203"/>
    </row>
    <row r="11" spans="2:9" hidden="1" outlineLevel="1">
      <c r="B11" s="164" t="s">
        <v>3</v>
      </c>
      <c r="C11" s="175"/>
      <c r="D11" s="203">
        <v>48</v>
      </c>
      <c r="E11" s="203"/>
    </row>
    <row r="12" spans="2:9" ht="30.75" hidden="1" customHeight="1" outlineLevel="1">
      <c r="B12" s="166" t="s">
        <v>4</v>
      </c>
      <c r="C12" s="176"/>
      <c r="D12" s="203" t="s">
        <v>49</v>
      </c>
      <c r="E12" s="203"/>
    </row>
    <row r="13" spans="2:9" collapsed="1">
      <c r="B13" s="164" t="s">
        <v>5</v>
      </c>
      <c r="C13" s="175"/>
      <c r="D13" s="203" t="s">
        <v>112</v>
      </c>
      <c r="E13" s="203"/>
      <c r="I13" s="5"/>
    </row>
    <row r="14" spans="2:9" hidden="1" outlineLevel="1">
      <c r="B14" s="1" t="s">
        <v>6</v>
      </c>
      <c r="D14" s="157" t="s">
        <v>7</v>
      </c>
      <c r="E14" s="157"/>
    </row>
    <row r="15" spans="2:9" ht="30.75" hidden="1" customHeight="1" outlineLevel="1">
      <c r="B15" s="15" t="s">
        <v>8</v>
      </c>
      <c r="C15" s="129"/>
      <c r="D15" s="204" t="s">
        <v>50</v>
      </c>
      <c r="E15" s="157"/>
      <c r="I15" s="5"/>
    </row>
    <row r="16" spans="2:9" ht="16.5" collapsed="1" thickBot="1">
      <c r="B16" s="242" t="s">
        <v>176</v>
      </c>
      <c r="C16" s="242"/>
      <c r="D16" s="242"/>
      <c r="E16" s="242"/>
      <c r="F16" s="242"/>
      <c r="G16" s="242"/>
      <c r="H16" s="242"/>
      <c r="I16" s="5"/>
    </row>
    <row r="17" spans="2:14" ht="42.75" customHeight="1" thickBot="1">
      <c r="B17" s="181" t="s">
        <v>178</v>
      </c>
      <c r="C17" s="228" t="s">
        <v>101</v>
      </c>
      <c r="D17" s="229"/>
      <c r="E17" s="238" t="s">
        <v>9</v>
      </c>
      <c r="F17" s="239"/>
      <c r="G17" s="238" t="s">
        <v>10</v>
      </c>
      <c r="H17" s="245"/>
      <c r="I17" s="5"/>
    </row>
    <row r="18" spans="2:14">
      <c r="B18" s="151" t="s">
        <v>11</v>
      </c>
      <c r="C18" s="268">
        <v>3360616.41</v>
      </c>
      <c r="D18" s="269"/>
      <c r="E18" s="230">
        <v>2544407.0100000002</v>
      </c>
      <c r="F18" s="231"/>
      <c r="G18" s="230">
        <v>816209.39999999991</v>
      </c>
      <c r="H18" s="246"/>
      <c r="I18" s="5"/>
    </row>
    <row r="19" spans="2:14">
      <c r="B19" s="152" t="s">
        <v>12</v>
      </c>
      <c r="C19" s="232">
        <v>3283758.1200000006</v>
      </c>
      <c r="D19" s="270"/>
      <c r="E19" s="232">
        <v>2487441.3100000005</v>
      </c>
      <c r="F19" s="233"/>
      <c r="G19" s="232">
        <v>796316.81</v>
      </c>
      <c r="H19" s="243"/>
      <c r="I19" s="5"/>
    </row>
    <row r="20" spans="2:14" ht="16.5" thickBot="1">
      <c r="B20" s="153" t="s">
        <v>88</v>
      </c>
      <c r="C20" s="271">
        <v>3453981.409</v>
      </c>
      <c r="D20" s="272"/>
      <c r="E20" s="234">
        <v>2629853.409</v>
      </c>
      <c r="F20" s="235"/>
      <c r="G20" s="234">
        <v>824128</v>
      </c>
      <c r="H20" s="244"/>
      <c r="I20" s="5"/>
    </row>
    <row r="21" spans="2:14" ht="31.5" customHeight="1" thickBot="1">
      <c r="B21" s="154" t="s">
        <v>146</v>
      </c>
      <c r="C21" s="236">
        <f>E21+G21</f>
        <v>-170223.28899999941</v>
      </c>
      <c r="D21" s="237"/>
      <c r="E21" s="247">
        <f>E19-E20</f>
        <v>-142412.09899999946</v>
      </c>
      <c r="F21" s="248"/>
      <c r="G21" s="247">
        <f>G19-G20</f>
        <v>-27811.189999999944</v>
      </c>
      <c r="H21" s="249"/>
      <c r="I21" s="5"/>
    </row>
    <row r="22" spans="2:14">
      <c r="B22" s="15"/>
      <c r="C22" s="129"/>
      <c r="D22" s="204"/>
      <c r="E22" s="157"/>
      <c r="I22" s="5"/>
    </row>
    <row r="23" spans="2:14" ht="36.75" customHeight="1" thickBot="1">
      <c r="B23" s="265" t="s">
        <v>179</v>
      </c>
      <c r="C23" s="265"/>
      <c r="D23" s="265"/>
      <c r="E23" s="265"/>
      <c r="F23" s="265"/>
      <c r="G23" s="265"/>
      <c r="H23" s="265"/>
      <c r="L23" s="5"/>
      <c r="M23" s="226" t="s">
        <v>148</v>
      </c>
      <c r="N23" s="226" t="s">
        <v>149</v>
      </c>
    </row>
    <row r="24" spans="2:14" ht="31.5" customHeight="1">
      <c r="B24" s="261" t="s">
        <v>94</v>
      </c>
      <c r="C24" s="259" t="s">
        <v>95</v>
      </c>
      <c r="D24" s="259" t="s">
        <v>116</v>
      </c>
      <c r="E24" s="266" t="s">
        <v>180</v>
      </c>
      <c r="F24" s="240" t="s">
        <v>96</v>
      </c>
      <c r="G24" s="241"/>
      <c r="H24" s="257" t="s">
        <v>122</v>
      </c>
      <c r="L24" s="5"/>
      <c r="M24" s="227"/>
      <c r="N24" s="227"/>
    </row>
    <row r="25" spans="2:14" ht="43.5" customHeight="1" thickBot="1">
      <c r="B25" s="262"/>
      <c r="C25" s="260"/>
      <c r="D25" s="260"/>
      <c r="E25" s="267"/>
      <c r="F25" s="17" t="s">
        <v>81</v>
      </c>
      <c r="G25" s="18" t="s">
        <v>82</v>
      </c>
      <c r="H25" s="258"/>
      <c r="M25" s="183">
        <v>250046.48</v>
      </c>
      <c r="N25" s="183">
        <f>M25*1.05</f>
        <v>262548.804</v>
      </c>
    </row>
    <row r="26" spans="2:14" ht="38.25">
      <c r="B26" s="19" t="s">
        <v>86</v>
      </c>
      <c r="C26" s="20" t="s">
        <v>97</v>
      </c>
      <c r="D26" s="21" t="s">
        <v>98</v>
      </c>
      <c r="E26" s="22">
        <v>1.06</v>
      </c>
      <c r="F26" s="23">
        <f>$M$25/$M$26*E26</f>
        <v>26320.68210526316</v>
      </c>
      <c r="G26" s="24">
        <f>$N$25/$N$26*E26</f>
        <v>27636.716210526316</v>
      </c>
      <c r="H26" s="25">
        <f>F26-G26</f>
        <v>-1316.0341052631557</v>
      </c>
      <c r="I26" s="26"/>
      <c r="J26" s="199"/>
      <c r="K26" s="199"/>
      <c r="L26" s="27"/>
      <c r="M26" s="185">
        <f>E35-E33</f>
        <v>10.07</v>
      </c>
      <c r="N26" s="185">
        <f>E35-E33</f>
        <v>10.07</v>
      </c>
    </row>
    <row r="27" spans="2:14" ht="51">
      <c r="B27" s="28" t="s">
        <v>90</v>
      </c>
      <c r="C27" s="20" t="s">
        <v>97</v>
      </c>
      <c r="D27" s="21" t="s">
        <v>98</v>
      </c>
      <c r="E27" s="29">
        <v>1.19</v>
      </c>
      <c r="F27" s="23">
        <f t="shared" ref="F27:F34" si="0">$M$25/$M$26*E27</f>
        <v>29548.690287984111</v>
      </c>
      <c r="G27" s="24">
        <f t="shared" ref="G27:G31" si="1">$N$25/$N$26*E27</f>
        <v>31026.124802383314</v>
      </c>
      <c r="H27" s="25">
        <f t="shared" ref="H27:H32" si="2">F27-G27</f>
        <v>-1477.4345143992032</v>
      </c>
      <c r="I27" s="31"/>
      <c r="J27" s="2"/>
      <c r="K27" s="2"/>
      <c r="L27" s="2"/>
      <c r="M27" s="186"/>
      <c r="N27" s="186"/>
    </row>
    <row r="28" spans="2:14" ht="41.25" customHeight="1">
      <c r="B28" s="32" t="s">
        <v>83</v>
      </c>
      <c r="C28" s="20" t="s">
        <v>97</v>
      </c>
      <c r="D28" s="21" t="s">
        <v>98</v>
      </c>
      <c r="E28" s="29">
        <v>0.32</v>
      </c>
      <c r="F28" s="23">
        <f t="shared" si="0"/>
        <v>7945.8662959285011</v>
      </c>
      <c r="G28" s="24">
        <f t="shared" si="1"/>
        <v>8343.1596107249261</v>
      </c>
      <c r="H28" s="25">
        <f t="shared" si="2"/>
        <v>-397.29331479642497</v>
      </c>
      <c r="I28" s="33"/>
      <c r="L28" s="5"/>
    </row>
    <row r="29" spans="2:14" ht="26.25" customHeight="1">
      <c r="B29" s="32" t="s">
        <v>84</v>
      </c>
      <c r="C29" s="34" t="s">
        <v>99</v>
      </c>
      <c r="D29" s="21" t="s">
        <v>98</v>
      </c>
      <c r="E29" s="29">
        <v>0.28000000000000003</v>
      </c>
      <c r="F29" s="23">
        <f t="shared" si="0"/>
        <v>6952.6330089374387</v>
      </c>
      <c r="G29" s="24">
        <f t="shared" si="1"/>
        <v>7300.2646593843101</v>
      </c>
      <c r="H29" s="25">
        <f t="shared" si="2"/>
        <v>-347.63165044687139</v>
      </c>
      <c r="I29" s="33"/>
      <c r="L29" s="5"/>
    </row>
    <row r="30" spans="2:14" ht="51">
      <c r="B30" s="28" t="s">
        <v>87</v>
      </c>
      <c r="C30" s="20" t="s">
        <v>137</v>
      </c>
      <c r="D30" s="21" t="s">
        <v>98</v>
      </c>
      <c r="E30" s="29">
        <v>1.18</v>
      </c>
      <c r="F30" s="23">
        <f t="shared" si="0"/>
        <v>29300.381966236346</v>
      </c>
      <c r="G30" s="24">
        <f t="shared" si="1"/>
        <v>30765.401064548161</v>
      </c>
      <c r="H30" s="25">
        <f t="shared" si="2"/>
        <v>-1465.0190983118155</v>
      </c>
      <c r="I30" s="33"/>
    </row>
    <row r="31" spans="2:14" ht="216" customHeight="1">
      <c r="B31" s="28" t="s">
        <v>121</v>
      </c>
      <c r="C31" s="20" t="s">
        <v>100</v>
      </c>
      <c r="D31" s="21" t="s">
        <v>98</v>
      </c>
      <c r="E31" s="29">
        <v>5.61</v>
      </c>
      <c r="F31" s="23">
        <f t="shared" si="0"/>
        <v>139300.96850049653</v>
      </c>
      <c r="G31" s="24">
        <f t="shared" si="1"/>
        <v>146266.01692552134</v>
      </c>
      <c r="H31" s="25">
        <f t="shared" si="2"/>
        <v>-6965.0484250248119</v>
      </c>
      <c r="I31" s="31"/>
      <c r="J31" s="2"/>
      <c r="K31" s="2"/>
      <c r="L31" s="4"/>
      <c r="M31" s="186"/>
      <c r="N31" s="186"/>
    </row>
    <row r="32" spans="2:14" ht="102">
      <c r="B32" s="28" t="s">
        <v>102</v>
      </c>
      <c r="C32" s="20" t="s">
        <v>97</v>
      </c>
      <c r="D32" s="21" t="s">
        <v>98</v>
      </c>
      <c r="E32" s="29">
        <v>0.24</v>
      </c>
      <c r="F32" s="23">
        <f t="shared" si="0"/>
        <v>5959.3997219463754</v>
      </c>
      <c r="G32" s="24">
        <f t="shared" ref="G32" si="3">$N$25/$N$26*E32</f>
        <v>6257.3697080436941</v>
      </c>
      <c r="H32" s="25">
        <f t="shared" si="2"/>
        <v>-297.96998609731872</v>
      </c>
      <c r="I32" s="33"/>
    </row>
    <row r="33" spans="2:14" ht="27.75" customHeight="1">
      <c r="B33" s="32" t="s">
        <v>91</v>
      </c>
      <c r="C33" s="20" t="s">
        <v>97</v>
      </c>
      <c r="D33" s="21" t="s">
        <v>98</v>
      </c>
      <c r="E33" s="29">
        <v>3.5</v>
      </c>
      <c r="F33" s="23">
        <v>86907.91</v>
      </c>
      <c r="G33" s="30">
        <v>104091</v>
      </c>
      <c r="H33" s="25">
        <f>F33-G33</f>
        <v>-17183.089999999997</v>
      </c>
      <c r="I33" s="33"/>
      <c r="L33" s="5"/>
    </row>
    <row r="34" spans="2:14" ht="16.5" thickBot="1">
      <c r="B34" s="35" t="s">
        <v>85</v>
      </c>
      <c r="C34" s="36" t="s">
        <v>100</v>
      </c>
      <c r="D34" s="37" t="s">
        <v>98</v>
      </c>
      <c r="E34" s="38">
        <v>0.19</v>
      </c>
      <c r="F34" s="23">
        <f t="shared" si="0"/>
        <v>4717.8581132075478</v>
      </c>
      <c r="G34" s="24">
        <f t="shared" ref="G34" si="4">$N$25/$N$26*E34</f>
        <v>4953.7510188679244</v>
      </c>
      <c r="H34" s="25">
        <f>F34-G34</f>
        <v>-235.89290566037653</v>
      </c>
      <c r="I34" s="33"/>
    </row>
    <row r="35" spans="2:14" ht="16.5" thickBot="1">
      <c r="B35" s="39" t="s">
        <v>89</v>
      </c>
      <c r="C35" s="40"/>
      <c r="D35" s="40"/>
      <c r="E35" s="41">
        <f>SUM(E26:E34)</f>
        <v>13.57</v>
      </c>
      <c r="F35" s="42">
        <f>SUM(F26:F34)</f>
        <v>336954.39</v>
      </c>
      <c r="G35" s="43">
        <f>SUM(G26:G34)</f>
        <v>366639.804</v>
      </c>
      <c r="H35" s="44">
        <f>SUM(H26:H34)</f>
        <v>-29685.413999999975</v>
      </c>
      <c r="I35" s="65"/>
    </row>
    <row r="36" spans="2:14">
      <c r="B36" s="5"/>
      <c r="C36" s="5"/>
      <c r="D36" s="5"/>
      <c r="E36" s="14"/>
      <c r="F36" s="14"/>
      <c r="G36" s="14"/>
      <c r="H36" s="3"/>
    </row>
    <row r="37" spans="2:14" ht="16.5" customHeight="1" thickBot="1">
      <c r="B37" s="242" t="s">
        <v>181</v>
      </c>
      <c r="C37" s="242"/>
      <c r="D37" s="242"/>
      <c r="E37" s="242"/>
      <c r="F37" s="242"/>
      <c r="G37" s="242"/>
      <c r="H37" s="242"/>
      <c r="I37" s="45"/>
      <c r="J37" s="45"/>
    </row>
    <row r="38" spans="2:14" ht="45" customHeight="1" thickBot="1">
      <c r="B38" s="181" t="s">
        <v>182</v>
      </c>
      <c r="C38" s="228" t="s">
        <v>101</v>
      </c>
      <c r="D38" s="229"/>
      <c r="E38" s="238" t="s">
        <v>9</v>
      </c>
      <c r="F38" s="239"/>
      <c r="G38" s="238" t="s">
        <v>10</v>
      </c>
      <c r="H38" s="245"/>
      <c r="I38" s="170"/>
      <c r="J38" s="159"/>
      <c r="K38" s="46"/>
      <c r="L38" s="47"/>
      <c r="M38" s="187"/>
      <c r="N38" s="187"/>
    </row>
    <row r="39" spans="2:14">
      <c r="B39" s="151" t="s">
        <v>11</v>
      </c>
      <c r="C39" s="230">
        <f>E39+G39</f>
        <v>3697570.8000000003</v>
      </c>
      <c r="D39" s="231"/>
      <c r="E39" s="230">
        <f>F26+F27+F28+F29+F30+F31+F32+F34+E18</f>
        <v>2794453.49</v>
      </c>
      <c r="F39" s="231"/>
      <c r="G39" s="230">
        <f>F33+G18</f>
        <v>903117.30999999994</v>
      </c>
      <c r="H39" s="246"/>
      <c r="I39" s="160"/>
      <c r="J39" s="161"/>
      <c r="K39" s="49"/>
      <c r="L39" s="49"/>
      <c r="M39" s="188"/>
    </row>
    <row r="40" spans="2:14">
      <c r="B40" s="152" t="s">
        <v>12</v>
      </c>
      <c r="C40" s="232">
        <f>E40+G40</f>
        <v>3631260.5400000005</v>
      </c>
      <c r="D40" s="233"/>
      <c r="E40" s="232">
        <f>E19+257873.94</f>
        <v>2745315.2500000005</v>
      </c>
      <c r="F40" s="233"/>
      <c r="G40" s="232">
        <f>G19+89628.48</f>
        <v>885945.29</v>
      </c>
      <c r="H40" s="243"/>
      <c r="I40" s="160"/>
      <c r="J40" s="162"/>
      <c r="K40" s="51"/>
      <c r="L40" s="49"/>
      <c r="M40" s="188"/>
    </row>
    <row r="41" spans="2:14" ht="16.5" thickBot="1">
      <c r="B41" s="153" t="s">
        <v>88</v>
      </c>
      <c r="C41" s="234">
        <f>E41+G41</f>
        <v>3820621.213</v>
      </c>
      <c r="D41" s="235"/>
      <c r="E41" s="234">
        <f>G26+G27+G28+G29+G30+G31+G32+G34+E20</f>
        <v>2892402.213</v>
      </c>
      <c r="F41" s="235"/>
      <c r="G41" s="234">
        <f>G33+G20</f>
        <v>928219</v>
      </c>
      <c r="H41" s="244"/>
      <c r="I41" s="160"/>
      <c r="J41" s="48"/>
      <c r="K41" s="33"/>
      <c r="L41" s="33"/>
    </row>
    <row r="42" spans="2:14" ht="30" customHeight="1" thickBot="1">
      <c r="B42" s="154" t="s">
        <v>147</v>
      </c>
      <c r="C42" s="236">
        <f>E42+G42</f>
        <v>-189360.67299999949</v>
      </c>
      <c r="D42" s="237"/>
      <c r="E42" s="247">
        <f>E40-E41</f>
        <v>-147086.96299999952</v>
      </c>
      <c r="F42" s="248"/>
      <c r="G42" s="247">
        <f>G40-G41</f>
        <v>-42273.709999999963</v>
      </c>
      <c r="H42" s="249"/>
      <c r="I42" s="163"/>
      <c r="J42" s="148"/>
      <c r="K42" s="33"/>
      <c r="L42" s="33"/>
    </row>
    <row r="43" spans="2:14" ht="15" customHeight="1">
      <c r="B43" s="76"/>
      <c r="C43" s="146"/>
      <c r="D43" s="146"/>
      <c r="E43" s="148"/>
      <c r="F43" s="148"/>
      <c r="G43" s="148"/>
      <c r="H43" s="148"/>
      <c r="I43" s="171"/>
      <c r="J43" s="31"/>
      <c r="K43" s="2"/>
      <c r="L43" s="2"/>
      <c r="M43" s="186"/>
      <c r="N43" s="186"/>
    </row>
    <row r="44" spans="2:14" ht="15.75" customHeight="1">
      <c r="B44" s="52" t="s">
        <v>77</v>
      </c>
      <c r="C44" s="225" t="s">
        <v>150</v>
      </c>
      <c r="D44" s="225"/>
      <c r="E44" s="225"/>
      <c r="F44" s="251" t="s">
        <v>174</v>
      </c>
      <c r="G44" s="251"/>
      <c r="H44" s="52"/>
      <c r="I44" s="171"/>
      <c r="J44" s="31"/>
      <c r="K44" s="2"/>
      <c r="L44" s="2"/>
      <c r="M44" s="186"/>
      <c r="N44" s="186"/>
    </row>
    <row r="45" spans="2:14" ht="8.25" customHeight="1">
      <c r="B45" s="52"/>
      <c r="C45" s="53"/>
      <c r="D45" s="53"/>
      <c r="E45" s="211"/>
      <c r="F45" s="252"/>
      <c r="G45" s="252"/>
      <c r="H45" s="52"/>
      <c r="I45" s="171"/>
      <c r="J45" s="31"/>
      <c r="K45" s="2"/>
      <c r="L45" s="2"/>
      <c r="M45" s="186"/>
      <c r="N45" s="186"/>
    </row>
    <row r="46" spans="2:14" ht="15.75" customHeight="1">
      <c r="B46" s="52" t="s">
        <v>78</v>
      </c>
      <c r="C46" s="225" t="s">
        <v>150</v>
      </c>
      <c r="D46" s="225"/>
      <c r="E46" s="225"/>
      <c r="F46" s="251" t="s">
        <v>93</v>
      </c>
      <c r="G46" s="251"/>
      <c r="H46" s="52"/>
      <c r="I46" s="52"/>
    </row>
    <row r="47" spans="2:14" ht="6" customHeight="1">
      <c r="B47" s="52"/>
      <c r="C47" s="53"/>
      <c r="D47" s="53"/>
      <c r="E47" s="211"/>
      <c r="F47" s="251"/>
      <c r="G47" s="251"/>
      <c r="H47" s="52"/>
      <c r="I47" s="52"/>
    </row>
    <row r="48" spans="2:14" ht="16.5" customHeight="1">
      <c r="B48" s="52" t="s">
        <v>79</v>
      </c>
      <c r="C48" s="225" t="s">
        <v>151</v>
      </c>
      <c r="D48" s="225"/>
      <c r="E48" s="225"/>
      <c r="F48" s="251" t="s">
        <v>175</v>
      </c>
      <c r="G48" s="251"/>
      <c r="H48" s="52"/>
      <c r="I48" s="6"/>
    </row>
    <row r="49" spans="2:9" ht="9" customHeight="1">
      <c r="B49" s="54"/>
      <c r="C49" s="55"/>
      <c r="D49" s="55"/>
      <c r="E49" s="211"/>
      <c r="F49" s="197"/>
      <c r="G49" s="54"/>
      <c r="H49" s="56"/>
      <c r="I49" s="52"/>
    </row>
    <row r="50" spans="2:9" ht="15.75" customHeight="1">
      <c r="B50" s="52" t="s">
        <v>80</v>
      </c>
      <c r="C50" s="225" t="s">
        <v>151</v>
      </c>
      <c r="D50" s="225"/>
      <c r="E50" s="225"/>
      <c r="F50" s="251" t="s">
        <v>175</v>
      </c>
      <c r="G50" s="251"/>
      <c r="H50" s="52"/>
      <c r="I50" s="3"/>
    </row>
    <row r="51" spans="2:9">
      <c r="B51" s="8"/>
      <c r="C51" s="137"/>
      <c r="D51" s="70"/>
      <c r="E51" s="211"/>
      <c r="F51" s="8"/>
      <c r="G51" s="8"/>
    </row>
  </sheetData>
  <mergeCells count="57">
    <mergeCell ref="E18:F18"/>
    <mergeCell ref="G18:H18"/>
    <mergeCell ref="C19:D19"/>
    <mergeCell ref="C38:D38"/>
    <mergeCell ref="C39:D39"/>
    <mergeCell ref="G20:H20"/>
    <mergeCell ref="C21:D21"/>
    <mergeCell ref="E21:F21"/>
    <mergeCell ref="G21:H21"/>
    <mergeCell ref="C40:D40"/>
    <mergeCell ref="C41:D41"/>
    <mergeCell ref="B1:H1"/>
    <mergeCell ref="B5:H6"/>
    <mergeCell ref="D8:E8"/>
    <mergeCell ref="B23:H23"/>
    <mergeCell ref="B2:H2"/>
    <mergeCell ref="B3:H3"/>
    <mergeCell ref="B4:H4"/>
    <mergeCell ref="B16:H16"/>
    <mergeCell ref="C17:D17"/>
    <mergeCell ref="E17:F17"/>
    <mergeCell ref="G17:H17"/>
    <mergeCell ref="C18:D18"/>
    <mergeCell ref="C20:D20"/>
    <mergeCell ref="E20:F20"/>
    <mergeCell ref="C42:D42"/>
    <mergeCell ref="E38:F38"/>
    <mergeCell ref="F50:G50"/>
    <mergeCell ref="F47:G47"/>
    <mergeCell ref="E41:F41"/>
    <mergeCell ref="E42:F42"/>
    <mergeCell ref="E40:F40"/>
    <mergeCell ref="E39:F39"/>
    <mergeCell ref="F46:G46"/>
    <mergeCell ref="F45:G45"/>
    <mergeCell ref="C44:E44"/>
    <mergeCell ref="C46:E46"/>
    <mergeCell ref="C48:E48"/>
    <mergeCell ref="F48:G48"/>
    <mergeCell ref="C50:E50"/>
    <mergeCell ref="F44:G44"/>
    <mergeCell ref="M23:M24"/>
    <mergeCell ref="N23:N24"/>
    <mergeCell ref="G42:H42"/>
    <mergeCell ref="E19:F19"/>
    <mergeCell ref="G19:H19"/>
    <mergeCell ref="G41:H41"/>
    <mergeCell ref="G40:H40"/>
    <mergeCell ref="G39:H39"/>
    <mergeCell ref="F24:G24"/>
    <mergeCell ref="H24:H25"/>
    <mergeCell ref="G38:H38"/>
    <mergeCell ref="B37:H37"/>
    <mergeCell ref="B24:B25"/>
    <mergeCell ref="C24:C25"/>
    <mergeCell ref="D24:D25"/>
    <mergeCell ref="E24:E25"/>
  </mergeCells>
  <printOptions horizontalCentered="1"/>
  <pageMargins left="0.19685039370078741" right="0.19685039370078741" top="0.15748031496062992" bottom="0.23622047244094491" header="0.31496062992125984" footer="0.31496062992125984"/>
  <pageSetup paperSize="9" scale="4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 codeName="Лист14">
    <tabColor rgb="FF0070C0"/>
    <pageSetUpPr fitToPage="1"/>
  </sheetPr>
  <dimension ref="B1:N52"/>
  <sheetViews>
    <sheetView zoomScale="110" zoomScaleNormal="110" workbookViewId="0">
      <selection activeCell="C24" sqref="C24:C25"/>
    </sheetView>
  </sheetViews>
  <sheetFormatPr defaultColWidth="9.140625" defaultRowHeight="15.75" outlineLevelRow="1"/>
  <cols>
    <col min="1" max="1" width="2.85546875" style="1" customWidth="1"/>
    <col min="2" max="2" width="56.140625" style="1" customWidth="1"/>
    <col min="3" max="3" width="14.7109375" style="128" customWidth="1"/>
    <col min="4" max="4" width="9.140625" style="3" customWidth="1"/>
    <col min="5" max="5" width="9.42578125" style="3" customWidth="1"/>
    <col min="6" max="6" width="9.7109375" style="1" customWidth="1"/>
    <col min="7" max="7" width="10.42578125" style="1" customWidth="1"/>
    <col min="8" max="8" width="10.7109375" style="1" customWidth="1"/>
    <col min="9" max="9" width="15.5703125" style="1" customWidth="1"/>
    <col min="10" max="10" width="16" style="1" customWidth="1"/>
    <col min="11" max="12" width="9.140625" style="1"/>
    <col min="13" max="13" width="18" style="182" customWidth="1"/>
    <col min="14" max="14" width="18.28515625" style="182" customWidth="1"/>
    <col min="15" max="16384" width="9.140625" style="1"/>
  </cols>
  <sheetData>
    <row r="1" spans="2:8">
      <c r="B1" s="255" t="s">
        <v>119</v>
      </c>
      <c r="C1" s="255"/>
      <c r="D1" s="255"/>
      <c r="E1" s="255"/>
      <c r="F1" s="255"/>
      <c r="G1" s="255"/>
      <c r="H1" s="255"/>
    </row>
    <row r="2" spans="2:8">
      <c r="B2" s="255" t="s">
        <v>120</v>
      </c>
      <c r="C2" s="255"/>
      <c r="D2" s="255"/>
      <c r="E2" s="255"/>
      <c r="F2" s="255"/>
      <c r="G2" s="255"/>
      <c r="H2" s="255"/>
    </row>
    <row r="3" spans="2:8">
      <c r="B3" s="255" t="s">
        <v>164</v>
      </c>
      <c r="C3" s="255"/>
      <c r="D3" s="255"/>
      <c r="E3" s="255"/>
      <c r="F3" s="255"/>
      <c r="G3" s="255"/>
      <c r="H3" s="255"/>
    </row>
    <row r="4" spans="2:8">
      <c r="B4" s="255" t="s">
        <v>183</v>
      </c>
      <c r="C4" s="255"/>
      <c r="D4" s="255"/>
      <c r="E4" s="255"/>
      <c r="F4" s="255"/>
      <c r="G4" s="255"/>
      <c r="H4" s="255"/>
    </row>
    <row r="5" spans="2:8" ht="23.25" customHeight="1">
      <c r="B5" s="256" t="s">
        <v>177</v>
      </c>
      <c r="C5" s="256"/>
      <c r="D5" s="256"/>
      <c r="E5" s="256"/>
      <c r="F5" s="256"/>
      <c r="G5" s="256"/>
      <c r="H5" s="256"/>
    </row>
    <row r="6" spans="2:8" ht="20.25" customHeight="1">
      <c r="B6" s="256"/>
      <c r="C6" s="256"/>
      <c r="D6" s="256"/>
      <c r="E6" s="256"/>
      <c r="F6" s="256"/>
      <c r="G6" s="256"/>
      <c r="H6" s="256"/>
    </row>
    <row r="7" spans="2:8" ht="8.25" customHeight="1"/>
    <row r="8" spans="2:8">
      <c r="B8" s="164" t="s">
        <v>0</v>
      </c>
      <c r="C8" s="175"/>
      <c r="D8" s="263" t="s">
        <v>51</v>
      </c>
      <c r="E8" s="263"/>
    </row>
    <row r="9" spans="2:8">
      <c r="B9" s="164" t="s">
        <v>1</v>
      </c>
      <c r="C9" s="175"/>
      <c r="D9" s="203">
        <v>1966</v>
      </c>
      <c r="E9" s="203"/>
    </row>
    <row r="10" spans="2:8" hidden="1" outlineLevel="1">
      <c r="B10" s="164" t="s">
        <v>2</v>
      </c>
      <c r="C10" s="175"/>
      <c r="D10" s="203">
        <v>4</v>
      </c>
      <c r="E10" s="203"/>
    </row>
    <row r="11" spans="2:8" hidden="1" outlineLevel="1">
      <c r="B11" s="164" t="s">
        <v>3</v>
      </c>
      <c r="C11" s="175"/>
      <c r="D11" s="203">
        <v>48</v>
      </c>
      <c r="E11" s="203"/>
    </row>
    <row r="12" spans="2:8" ht="30.75" hidden="1" customHeight="1" outlineLevel="1">
      <c r="B12" s="166" t="s">
        <v>4</v>
      </c>
      <c r="C12" s="176"/>
      <c r="D12" s="203" t="s">
        <v>52</v>
      </c>
      <c r="E12" s="203"/>
    </row>
    <row r="13" spans="2:8" collapsed="1">
      <c r="B13" s="164" t="s">
        <v>5</v>
      </c>
      <c r="C13" s="175"/>
      <c r="D13" s="203" t="s">
        <v>113</v>
      </c>
      <c r="E13" s="203"/>
      <c r="H13" s="5"/>
    </row>
    <row r="14" spans="2:8" hidden="1" outlineLevel="1">
      <c r="B14" s="1" t="s">
        <v>6</v>
      </c>
      <c r="D14" s="157" t="s">
        <v>7</v>
      </c>
      <c r="E14" s="157"/>
    </row>
    <row r="15" spans="2:8" ht="30.75" hidden="1" customHeight="1" outlineLevel="1">
      <c r="B15" s="15" t="s">
        <v>8</v>
      </c>
      <c r="C15" s="129"/>
      <c r="D15" s="204" t="s">
        <v>53</v>
      </c>
      <c r="E15" s="157"/>
      <c r="H15" s="5"/>
    </row>
    <row r="16" spans="2:8" ht="16.5" collapsed="1" thickBot="1">
      <c r="B16" s="242" t="s">
        <v>176</v>
      </c>
      <c r="C16" s="242"/>
      <c r="D16" s="242"/>
      <c r="E16" s="242"/>
      <c r="F16" s="242"/>
      <c r="G16" s="242"/>
      <c r="H16" s="242"/>
    </row>
    <row r="17" spans="2:14" ht="45.75" customHeight="1" thickBot="1">
      <c r="B17" s="181" t="s">
        <v>178</v>
      </c>
      <c r="C17" s="228" t="s">
        <v>101</v>
      </c>
      <c r="D17" s="229"/>
      <c r="E17" s="238" t="s">
        <v>9</v>
      </c>
      <c r="F17" s="239"/>
      <c r="G17" s="238" t="s">
        <v>10</v>
      </c>
      <c r="H17" s="245"/>
    </row>
    <row r="18" spans="2:14">
      <c r="B18" s="151" t="s">
        <v>11</v>
      </c>
      <c r="C18" s="268">
        <v>3256177.13</v>
      </c>
      <c r="D18" s="269"/>
      <c r="E18" s="230">
        <v>2579379.2799999998</v>
      </c>
      <c r="F18" s="231"/>
      <c r="G18" s="230">
        <v>676797.84999999986</v>
      </c>
      <c r="H18" s="246"/>
    </row>
    <row r="19" spans="2:14">
      <c r="B19" s="152" t="s">
        <v>12</v>
      </c>
      <c r="C19" s="232">
        <v>3106766.8499999996</v>
      </c>
      <c r="D19" s="270"/>
      <c r="E19" s="232">
        <v>2460316.1999999997</v>
      </c>
      <c r="F19" s="233"/>
      <c r="G19" s="232">
        <v>646450.64999999991</v>
      </c>
      <c r="H19" s="243"/>
    </row>
    <row r="20" spans="2:14" ht="16.5" thickBot="1">
      <c r="B20" s="153" t="s">
        <v>88</v>
      </c>
      <c r="C20" s="271">
        <v>3168770.9723999999</v>
      </c>
      <c r="D20" s="272"/>
      <c r="E20" s="234">
        <v>2579015.9723999999</v>
      </c>
      <c r="F20" s="235"/>
      <c r="G20" s="234">
        <v>589755</v>
      </c>
      <c r="H20" s="244"/>
    </row>
    <row r="21" spans="2:14" ht="28.5" customHeight="1" thickBot="1">
      <c r="B21" s="154" t="s">
        <v>146</v>
      </c>
      <c r="C21" s="236">
        <f>E21+G21</f>
        <v>-62004.122400000226</v>
      </c>
      <c r="D21" s="237"/>
      <c r="E21" s="247">
        <f>E19-E20</f>
        <v>-118699.77240000013</v>
      </c>
      <c r="F21" s="248"/>
      <c r="G21" s="247">
        <f>G19-G20</f>
        <v>56695.649999999907</v>
      </c>
      <c r="H21" s="249"/>
    </row>
    <row r="22" spans="2:14">
      <c r="B22" s="15"/>
      <c r="C22" s="129"/>
      <c r="D22" s="204"/>
      <c r="E22" s="157"/>
      <c r="H22" s="5"/>
    </row>
    <row r="23" spans="2:14" ht="33.75" customHeight="1" thickBot="1">
      <c r="B23" s="265" t="s">
        <v>179</v>
      </c>
      <c r="C23" s="265"/>
      <c r="D23" s="265"/>
      <c r="E23" s="265"/>
      <c r="F23" s="265"/>
      <c r="G23" s="265"/>
      <c r="H23" s="265"/>
      <c r="L23" s="5"/>
      <c r="M23" s="226" t="s">
        <v>148</v>
      </c>
      <c r="N23" s="226" t="s">
        <v>149</v>
      </c>
    </row>
    <row r="24" spans="2:14" ht="33.75" customHeight="1">
      <c r="B24" s="261" t="s">
        <v>94</v>
      </c>
      <c r="C24" s="259" t="s">
        <v>95</v>
      </c>
      <c r="D24" s="259" t="s">
        <v>116</v>
      </c>
      <c r="E24" s="266" t="s">
        <v>180</v>
      </c>
      <c r="F24" s="240" t="s">
        <v>96</v>
      </c>
      <c r="G24" s="241"/>
      <c r="H24" s="257" t="s">
        <v>122</v>
      </c>
      <c r="L24" s="5"/>
      <c r="M24" s="227"/>
      <c r="N24" s="227"/>
    </row>
    <row r="25" spans="2:14" ht="37.5" customHeight="1" thickBot="1">
      <c r="B25" s="262"/>
      <c r="C25" s="260"/>
      <c r="D25" s="260"/>
      <c r="E25" s="267"/>
      <c r="F25" s="17" t="s">
        <v>81</v>
      </c>
      <c r="G25" s="18" t="s">
        <v>82</v>
      </c>
      <c r="H25" s="258"/>
      <c r="M25" s="183">
        <v>252764.97</v>
      </c>
      <c r="N25" s="183">
        <f>M25*1.05</f>
        <v>265403.21850000002</v>
      </c>
    </row>
    <row r="26" spans="2:14" ht="38.25">
      <c r="B26" s="19" t="s">
        <v>86</v>
      </c>
      <c r="C26" s="20" t="s">
        <v>97</v>
      </c>
      <c r="D26" s="21" t="s">
        <v>98</v>
      </c>
      <c r="E26" s="22">
        <v>1.06</v>
      </c>
      <c r="F26" s="23">
        <f>$M$25/$M$26*E26</f>
        <v>25324.278657844989</v>
      </c>
      <c r="G26" s="24">
        <f>$N$25/$N$26*E26</f>
        <v>26590.492590737238</v>
      </c>
      <c r="H26" s="25">
        <f>F26-G26</f>
        <v>-1266.2139328922494</v>
      </c>
      <c r="I26" s="26"/>
      <c r="J26" s="199"/>
      <c r="K26" s="199"/>
      <c r="L26" s="27"/>
      <c r="M26" s="185">
        <f>E35-E33</f>
        <v>10.580000000000002</v>
      </c>
      <c r="N26" s="185">
        <f>E35-E33</f>
        <v>10.580000000000002</v>
      </c>
    </row>
    <row r="27" spans="2:14" ht="51">
      <c r="B27" s="28" t="s">
        <v>90</v>
      </c>
      <c r="C27" s="20" t="s">
        <v>97</v>
      </c>
      <c r="D27" s="21" t="s">
        <v>98</v>
      </c>
      <c r="E27" s="29">
        <v>1.19</v>
      </c>
      <c r="F27" s="23">
        <f t="shared" ref="F27:F32" si="0">$M$25/$M$26*E27</f>
        <v>28430.086417769373</v>
      </c>
      <c r="G27" s="24">
        <f t="shared" ref="G27:G28" si="1">$N$25/$N$26*E27</f>
        <v>29851.59073865784</v>
      </c>
      <c r="H27" s="25">
        <f t="shared" ref="H27:H32" si="2">F27-G27</f>
        <v>-1421.5043208884672</v>
      </c>
      <c r="I27" s="31"/>
      <c r="J27" s="2"/>
      <c r="K27" s="2"/>
      <c r="L27" s="2"/>
      <c r="M27" s="186"/>
      <c r="N27" s="186"/>
    </row>
    <row r="28" spans="2:14" ht="27" customHeight="1">
      <c r="B28" s="32" t="s">
        <v>83</v>
      </c>
      <c r="C28" s="20" t="s">
        <v>97</v>
      </c>
      <c r="D28" s="21" t="s">
        <v>98</v>
      </c>
      <c r="E28" s="29">
        <v>0.32</v>
      </c>
      <c r="F28" s="23">
        <f t="shared" si="0"/>
        <v>7645.0652551984867</v>
      </c>
      <c r="G28" s="24">
        <f t="shared" si="1"/>
        <v>8027.3185179584116</v>
      </c>
      <c r="H28" s="25">
        <f t="shared" si="2"/>
        <v>-382.25326275992484</v>
      </c>
      <c r="I28" s="33"/>
      <c r="L28" s="5"/>
    </row>
    <row r="29" spans="2:14" ht="25.5">
      <c r="B29" s="32" t="s">
        <v>84</v>
      </c>
      <c r="C29" s="34" t="s">
        <v>99</v>
      </c>
      <c r="D29" s="21" t="s">
        <v>98</v>
      </c>
      <c r="E29" s="29">
        <v>0.26</v>
      </c>
      <c r="F29" s="23">
        <f t="shared" si="0"/>
        <v>6211.6155198487704</v>
      </c>
      <c r="G29" s="24">
        <f t="shared" ref="G29:G31" si="3">$N$25/$N$26*E29</f>
        <v>6522.1962958412096</v>
      </c>
      <c r="H29" s="25">
        <f t="shared" si="2"/>
        <v>-310.58077599243916</v>
      </c>
      <c r="I29" s="33"/>
      <c r="L29" s="5"/>
    </row>
    <row r="30" spans="2:14" ht="51">
      <c r="B30" s="28" t="s">
        <v>87</v>
      </c>
      <c r="C30" s="20" t="s">
        <v>137</v>
      </c>
      <c r="D30" s="21" t="s">
        <v>98</v>
      </c>
      <c r="E30" s="29">
        <v>1.18</v>
      </c>
      <c r="F30" s="23">
        <f t="shared" si="0"/>
        <v>28191.178128544419</v>
      </c>
      <c r="G30" s="24">
        <f t="shared" si="3"/>
        <v>29600.73703497164</v>
      </c>
      <c r="H30" s="25">
        <f t="shared" si="2"/>
        <v>-1409.5589064272208</v>
      </c>
      <c r="I30" s="33"/>
    </row>
    <row r="31" spans="2:14" ht="215.25" customHeight="1">
      <c r="B31" s="28" t="s">
        <v>121</v>
      </c>
      <c r="C31" s="20" t="s">
        <v>100</v>
      </c>
      <c r="D31" s="21" t="s">
        <v>98</v>
      </c>
      <c r="E31" s="29">
        <v>5.61</v>
      </c>
      <c r="F31" s="23">
        <f t="shared" si="0"/>
        <v>134027.55025519847</v>
      </c>
      <c r="G31" s="24">
        <f t="shared" si="3"/>
        <v>140728.9277679584</v>
      </c>
      <c r="H31" s="25">
        <f t="shared" si="2"/>
        <v>-6701.3775127599365</v>
      </c>
      <c r="I31" s="31"/>
      <c r="J31" s="2"/>
      <c r="K31" s="2"/>
      <c r="L31" s="4"/>
      <c r="M31" s="186"/>
      <c r="N31" s="186"/>
    </row>
    <row r="32" spans="2:14" ht="105.75" customHeight="1">
      <c r="B32" s="28" t="s">
        <v>102</v>
      </c>
      <c r="C32" s="20" t="s">
        <v>97</v>
      </c>
      <c r="D32" s="21" t="s">
        <v>98</v>
      </c>
      <c r="E32" s="29">
        <v>0.24</v>
      </c>
      <c r="F32" s="23">
        <f t="shared" si="0"/>
        <v>5733.7989413988653</v>
      </c>
      <c r="G32" s="24">
        <f t="shared" ref="G32" si="4">$N$25/$N$26*E32</f>
        <v>6020.488888468808</v>
      </c>
      <c r="H32" s="25">
        <f t="shared" si="2"/>
        <v>-286.68994706994272</v>
      </c>
      <c r="I32" s="33"/>
    </row>
    <row r="33" spans="2:14" ht="27.75" customHeight="1">
      <c r="B33" s="32" t="s">
        <v>91</v>
      </c>
      <c r="C33" s="20" t="s">
        <v>97</v>
      </c>
      <c r="D33" s="21" t="s">
        <v>98</v>
      </c>
      <c r="E33" s="29">
        <v>3</v>
      </c>
      <c r="F33" s="23">
        <v>71672.490000000005</v>
      </c>
      <c r="G33" s="30">
        <v>185461</v>
      </c>
      <c r="H33" s="25">
        <f>F33-G33</f>
        <v>-113788.51</v>
      </c>
      <c r="I33" s="33"/>
      <c r="L33" s="5"/>
    </row>
    <row r="34" spans="2:14" ht="16.5" thickBot="1">
      <c r="B34" s="62" t="s">
        <v>85</v>
      </c>
      <c r="C34" s="36" t="s">
        <v>100</v>
      </c>
      <c r="D34" s="37" t="s">
        <v>98</v>
      </c>
      <c r="E34" s="38">
        <v>0.72</v>
      </c>
      <c r="F34" s="23">
        <f>$M$25/$M$26*E34</f>
        <v>17201.396824196596</v>
      </c>
      <c r="G34" s="24">
        <f t="shared" ref="G34" si="5">$N$25/$N$26*E34</f>
        <v>18061.466665406424</v>
      </c>
      <c r="H34" s="25">
        <f>F34-G34</f>
        <v>-860.06984120982816</v>
      </c>
      <c r="I34" s="33"/>
    </row>
    <row r="35" spans="2:14" ht="16.5" thickBot="1">
      <c r="B35" s="39" t="s">
        <v>89</v>
      </c>
      <c r="C35" s="40"/>
      <c r="D35" s="40"/>
      <c r="E35" s="41">
        <f>SUM(E26:E34)</f>
        <v>13.580000000000002</v>
      </c>
      <c r="F35" s="42">
        <f>SUM(F26:F34)</f>
        <v>324437.45999999996</v>
      </c>
      <c r="G35" s="43">
        <f>SUM(G26:G34)</f>
        <v>450864.21849999996</v>
      </c>
      <c r="H35" s="44">
        <f>SUM(H26:H34)</f>
        <v>-126426.7585</v>
      </c>
      <c r="I35" s="65"/>
    </row>
    <row r="36" spans="2:14">
      <c r="B36" s="5"/>
      <c r="C36" s="5"/>
      <c r="D36" s="5"/>
      <c r="E36" s="14"/>
      <c r="F36" s="14"/>
      <c r="G36" s="14"/>
      <c r="H36" s="3"/>
    </row>
    <row r="37" spans="2:14" ht="16.5" customHeight="1" thickBot="1">
      <c r="B37" s="242" t="s">
        <v>181</v>
      </c>
      <c r="C37" s="242"/>
      <c r="D37" s="242"/>
      <c r="E37" s="242"/>
      <c r="F37" s="242"/>
      <c r="G37" s="242"/>
      <c r="H37" s="242"/>
      <c r="I37" s="45"/>
      <c r="J37" s="45"/>
    </row>
    <row r="38" spans="2:14" ht="52.5" customHeight="1" thickBot="1">
      <c r="B38" s="181" t="s">
        <v>182</v>
      </c>
      <c r="C38" s="228" t="s">
        <v>101</v>
      </c>
      <c r="D38" s="229"/>
      <c r="E38" s="238" t="s">
        <v>9</v>
      </c>
      <c r="F38" s="239"/>
      <c r="G38" s="238" t="s">
        <v>10</v>
      </c>
      <c r="H38" s="245"/>
      <c r="I38" s="158"/>
      <c r="J38" s="159"/>
      <c r="K38" s="46"/>
      <c r="L38" s="47"/>
      <c r="M38" s="187"/>
      <c r="N38" s="187"/>
    </row>
    <row r="39" spans="2:14">
      <c r="B39" s="151" t="s">
        <v>11</v>
      </c>
      <c r="C39" s="268">
        <f>E39+G39</f>
        <v>3580614.5899999994</v>
      </c>
      <c r="D39" s="273"/>
      <c r="E39" s="268">
        <f>F26+F27+F28+F29+F30+F31+F32+F34+E18</f>
        <v>2832144.2499999995</v>
      </c>
      <c r="F39" s="273"/>
      <c r="G39" s="268">
        <f>F33+G18</f>
        <v>748470.33999999985</v>
      </c>
      <c r="H39" s="274"/>
      <c r="I39" s="160"/>
      <c r="J39" s="161"/>
      <c r="K39" s="49"/>
      <c r="L39" s="49"/>
      <c r="M39" s="188"/>
    </row>
    <row r="40" spans="2:14">
      <c r="B40" s="152" t="s">
        <v>12</v>
      </c>
      <c r="C40" s="232">
        <f>E40+G40</f>
        <v>3414860.82</v>
      </c>
      <c r="D40" s="233"/>
      <c r="E40" s="232">
        <f>E19+240031.97</f>
        <v>2700348.17</v>
      </c>
      <c r="F40" s="233"/>
      <c r="G40" s="232">
        <f>G19+68062</f>
        <v>714512.64999999991</v>
      </c>
      <c r="H40" s="243"/>
      <c r="I40" s="160"/>
      <c r="J40" s="162"/>
      <c r="K40" s="51"/>
      <c r="L40" s="49"/>
      <c r="M40" s="188"/>
    </row>
    <row r="41" spans="2:14" ht="16.5" thickBot="1">
      <c r="B41" s="153" t="s">
        <v>88</v>
      </c>
      <c r="C41" s="271">
        <f>E41+G41</f>
        <v>3619635.1908999998</v>
      </c>
      <c r="D41" s="277"/>
      <c r="E41" s="271">
        <f>G26+G27+G28+G29+G30+G31+G32+G34+E20</f>
        <v>2844419.1908999998</v>
      </c>
      <c r="F41" s="277"/>
      <c r="G41" s="271">
        <f>G33+G20</f>
        <v>775216</v>
      </c>
      <c r="H41" s="276"/>
      <c r="I41" s="160"/>
      <c r="J41" s="48"/>
      <c r="K41" s="33"/>
      <c r="L41" s="33"/>
    </row>
    <row r="42" spans="2:14" ht="31.5" customHeight="1" thickBot="1">
      <c r="B42" s="154" t="s">
        <v>147</v>
      </c>
      <c r="C42" s="236">
        <f>E42+G42</f>
        <v>-204774.37089999998</v>
      </c>
      <c r="D42" s="237"/>
      <c r="E42" s="247">
        <f>E40-E41</f>
        <v>-144071.02089999989</v>
      </c>
      <c r="F42" s="248"/>
      <c r="G42" s="247">
        <f>G40-G41</f>
        <v>-60703.350000000093</v>
      </c>
      <c r="H42" s="249"/>
      <c r="I42" s="163"/>
      <c r="J42" s="148"/>
      <c r="K42" s="33"/>
      <c r="L42" s="33"/>
    </row>
    <row r="43" spans="2:14" ht="15" customHeight="1">
      <c r="B43" s="76"/>
      <c r="C43" s="146"/>
      <c r="D43" s="146"/>
      <c r="E43" s="148"/>
      <c r="F43" s="148"/>
      <c r="G43" s="148"/>
      <c r="H43" s="148"/>
      <c r="I43" s="52"/>
      <c r="J43" s="2"/>
      <c r="K43" s="2"/>
      <c r="L43" s="2"/>
      <c r="M43" s="186"/>
      <c r="N43" s="186"/>
    </row>
    <row r="44" spans="2:14" ht="14.25" customHeight="1">
      <c r="B44" s="52" t="s">
        <v>77</v>
      </c>
      <c r="C44" s="225" t="s">
        <v>150</v>
      </c>
      <c r="D44" s="225"/>
      <c r="E44" s="225"/>
      <c r="F44" s="251" t="s">
        <v>174</v>
      </c>
      <c r="G44" s="251"/>
      <c r="H44" s="52"/>
      <c r="I44" s="52"/>
      <c r="J44" s="2"/>
      <c r="K44" s="2"/>
      <c r="L44" s="2"/>
      <c r="M44" s="186"/>
      <c r="N44" s="186"/>
    </row>
    <row r="45" spans="2:14" ht="8.25" customHeight="1">
      <c r="B45" s="52"/>
      <c r="C45" s="53"/>
      <c r="D45" s="53"/>
      <c r="E45" s="211"/>
      <c r="F45" s="252"/>
      <c r="G45" s="252"/>
      <c r="H45" s="52"/>
      <c r="I45" s="52"/>
      <c r="J45" s="2"/>
      <c r="K45" s="2"/>
      <c r="L45" s="2"/>
      <c r="M45" s="186"/>
      <c r="N45" s="186"/>
    </row>
    <row r="46" spans="2:14" ht="12.75" customHeight="1">
      <c r="B46" s="52" t="s">
        <v>78</v>
      </c>
      <c r="C46" s="225" t="s">
        <v>150</v>
      </c>
      <c r="D46" s="225"/>
      <c r="E46" s="225"/>
      <c r="F46" s="251" t="s">
        <v>93</v>
      </c>
      <c r="G46" s="251"/>
      <c r="H46" s="52"/>
      <c r="I46" s="52"/>
    </row>
    <row r="47" spans="2:14" ht="8.25" customHeight="1">
      <c r="B47" s="52"/>
      <c r="C47" s="53"/>
      <c r="D47" s="53"/>
      <c r="E47" s="211"/>
      <c r="F47" s="251"/>
      <c r="G47" s="251"/>
      <c r="H47" s="52"/>
      <c r="I47" s="52"/>
    </row>
    <row r="48" spans="2:14" ht="15.75" customHeight="1">
      <c r="B48" s="52" t="s">
        <v>79</v>
      </c>
      <c r="C48" s="225" t="s">
        <v>151</v>
      </c>
      <c r="D48" s="225"/>
      <c r="E48" s="225"/>
      <c r="F48" s="251" t="s">
        <v>175</v>
      </c>
      <c r="G48" s="251"/>
      <c r="H48" s="52"/>
      <c r="I48" s="6"/>
    </row>
    <row r="49" spans="2:9" ht="9" customHeight="1">
      <c r="B49" s="54"/>
      <c r="C49" s="55"/>
      <c r="D49" s="55"/>
      <c r="E49" s="211"/>
      <c r="F49" s="197"/>
      <c r="G49" s="54"/>
      <c r="H49" s="56"/>
      <c r="I49" s="52"/>
    </row>
    <row r="50" spans="2:9" ht="14.25" customHeight="1">
      <c r="B50" s="52" t="s">
        <v>80</v>
      </c>
      <c r="C50" s="225" t="s">
        <v>151</v>
      </c>
      <c r="D50" s="225"/>
      <c r="E50" s="225"/>
      <c r="F50" s="251" t="s">
        <v>175</v>
      </c>
      <c r="G50" s="251"/>
      <c r="H50" s="52"/>
    </row>
    <row r="51" spans="2:9">
      <c r="B51" s="8"/>
      <c r="C51" s="137"/>
      <c r="D51" s="70"/>
      <c r="E51" s="70"/>
      <c r="F51" s="8"/>
      <c r="G51" s="8"/>
    </row>
    <row r="52" spans="2:9">
      <c r="B52" s="8"/>
      <c r="C52" s="137"/>
      <c r="D52" s="70"/>
      <c r="E52" s="70"/>
      <c r="F52" s="8"/>
      <c r="G52" s="8"/>
    </row>
  </sheetData>
  <mergeCells count="57">
    <mergeCell ref="B1:H1"/>
    <mergeCell ref="B5:H6"/>
    <mergeCell ref="D8:E8"/>
    <mergeCell ref="F44:G44"/>
    <mergeCell ref="E41:F41"/>
    <mergeCell ref="E40:F40"/>
    <mergeCell ref="G40:H40"/>
    <mergeCell ref="G38:H38"/>
    <mergeCell ref="B23:H23"/>
    <mergeCell ref="B24:B25"/>
    <mergeCell ref="C24:C25"/>
    <mergeCell ref="D24:D25"/>
    <mergeCell ref="G42:H42"/>
    <mergeCell ref="E42:F42"/>
    <mergeCell ref="E24:E25"/>
    <mergeCell ref="B2:H2"/>
    <mergeCell ref="B3:H3"/>
    <mergeCell ref="B4:H4"/>
    <mergeCell ref="E39:F39"/>
    <mergeCell ref="E38:F38"/>
    <mergeCell ref="H24:H25"/>
    <mergeCell ref="G39:H39"/>
    <mergeCell ref="B37:H37"/>
    <mergeCell ref="C19:D19"/>
    <mergeCell ref="E19:F19"/>
    <mergeCell ref="G19:H19"/>
    <mergeCell ref="C20:D20"/>
    <mergeCell ref="E20:F20"/>
    <mergeCell ref="G20:H20"/>
    <mergeCell ref="C21:D21"/>
    <mergeCell ref="G21:H21"/>
    <mergeCell ref="E21:F21"/>
    <mergeCell ref="B16:H16"/>
    <mergeCell ref="C17:D17"/>
    <mergeCell ref="E17:F17"/>
    <mergeCell ref="G17:H17"/>
    <mergeCell ref="C18:D18"/>
    <mergeCell ref="E18:F18"/>
    <mergeCell ref="G18:H18"/>
    <mergeCell ref="M23:M24"/>
    <mergeCell ref="N23:N24"/>
    <mergeCell ref="C38:D38"/>
    <mergeCell ref="C39:D39"/>
    <mergeCell ref="C40:D40"/>
    <mergeCell ref="F24:G24"/>
    <mergeCell ref="C50:E50"/>
    <mergeCell ref="F50:G50"/>
    <mergeCell ref="C41:D41"/>
    <mergeCell ref="C42:D42"/>
    <mergeCell ref="C44:E44"/>
    <mergeCell ref="C46:E46"/>
    <mergeCell ref="C48:E48"/>
    <mergeCell ref="F45:G45"/>
    <mergeCell ref="G41:H41"/>
    <mergeCell ref="F46:G46"/>
    <mergeCell ref="F47:G47"/>
    <mergeCell ref="F48:G48"/>
  </mergeCells>
  <printOptions horizontalCentered="1"/>
  <pageMargins left="0.23622047244094491" right="0.19685039370078741" top="0.15748031496062992" bottom="0.23622047244094491" header="0.31496062992125984" footer="0.31496062992125984"/>
  <pageSetup paperSize="9" scale="47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>
  <sheetPr codeName="Лист15">
    <tabColor rgb="FF0070C0"/>
    <pageSetUpPr fitToPage="1"/>
  </sheetPr>
  <dimension ref="B1:N51"/>
  <sheetViews>
    <sheetView zoomScale="110" zoomScaleNormal="110" workbookViewId="0">
      <selection activeCell="C24" sqref="C24:C25"/>
    </sheetView>
  </sheetViews>
  <sheetFormatPr defaultColWidth="9.140625" defaultRowHeight="15.75" outlineLevelRow="1"/>
  <cols>
    <col min="1" max="1" width="2.85546875" style="1" customWidth="1"/>
    <col min="2" max="2" width="56.140625" style="1" customWidth="1"/>
    <col min="3" max="3" width="14.85546875" style="3" customWidth="1"/>
    <col min="4" max="4" width="8.42578125" style="3" customWidth="1"/>
    <col min="5" max="5" width="9.5703125" style="3" customWidth="1"/>
    <col min="6" max="6" width="10.42578125" style="1" customWidth="1"/>
    <col min="7" max="7" width="10.28515625" style="1" customWidth="1"/>
    <col min="8" max="8" width="10.5703125" style="1" customWidth="1"/>
    <col min="9" max="9" width="15.7109375" style="1" customWidth="1"/>
    <col min="10" max="10" width="16.28515625" style="1" customWidth="1"/>
    <col min="11" max="12" width="9.140625" style="1"/>
    <col min="13" max="13" width="18.140625" style="182" customWidth="1"/>
    <col min="14" max="14" width="21.140625" style="182" customWidth="1"/>
    <col min="15" max="16384" width="9.140625" style="1"/>
  </cols>
  <sheetData>
    <row r="1" spans="2:9">
      <c r="B1" s="255" t="s">
        <v>119</v>
      </c>
      <c r="C1" s="255"/>
      <c r="D1" s="255"/>
      <c r="E1" s="255"/>
      <c r="F1" s="255"/>
      <c r="G1" s="255"/>
      <c r="H1" s="255"/>
    </row>
    <row r="2" spans="2:9">
      <c r="B2" s="255" t="s">
        <v>120</v>
      </c>
      <c r="C2" s="255"/>
      <c r="D2" s="255"/>
      <c r="E2" s="255"/>
      <c r="F2" s="255"/>
      <c r="G2" s="255"/>
      <c r="H2" s="255"/>
    </row>
    <row r="3" spans="2:9">
      <c r="B3" s="255" t="s">
        <v>165</v>
      </c>
      <c r="C3" s="255"/>
      <c r="D3" s="255"/>
      <c r="E3" s="255"/>
      <c r="F3" s="255"/>
      <c r="G3" s="255"/>
      <c r="H3" s="255"/>
    </row>
    <row r="4" spans="2:9">
      <c r="B4" s="255" t="s">
        <v>183</v>
      </c>
      <c r="C4" s="255"/>
      <c r="D4" s="255"/>
      <c r="E4" s="255"/>
      <c r="F4" s="255"/>
      <c r="G4" s="255"/>
      <c r="H4" s="255"/>
    </row>
    <row r="5" spans="2:9" ht="19.5" customHeight="1">
      <c r="B5" s="256" t="s">
        <v>177</v>
      </c>
      <c r="C5" s="256"/>
      <c r="D5" s="256"/>
      <c r="E5" s="256"/>
      <c r="F5" s="256"/>
      <c r="G5" s="256"/>
      <c r="H5" s="256"/>
    </row>
    <row r="6" spans="2:9" ht="20.25" customHeight="1">
      <c r="B6" s="256"/>
      <c r="C6" s="256"/>
      <c r="D6" s="256"/>
      <c r="E6" s="256"/>
      <c r="F6" s="256"/>
      <c r="G6" s="256"/>
      <c r="H6" s="256"/>
    </row>
    <row r="7" spans="2:9" ht="8.25" customHeight="1"/>
    <row r="8" spans="2:9">
      <c r="B8" s="164" t="s">
        <v>0</v>
      </c>
      <c r="C8" s="173"/>
      <c r="D8" s="263" t="s">
        <v>54</v>
      </c>
      <c r="E8" s="263"/>
      <c r="F8" s="164"/>
    </row>
    <row r="9" spans="2:9">
      <c r="B9" s="164" t="s">
        <v>1</v>
      </c>
      <c r="C9" s="173"/>
      <c r="D9" s="203">
        <v>1968</v>
      </c>
      <c r="E9" s="203"/>
      <c r="F9" s="164"/>
    </row>
    <row r="10" spans="2:9" hidden="1" outlineLevel="1">
      <c r="B10" s="164" t="s">
        <v>2</v>
      </c>
      <c r="C10" s="173"/>
      <c r="D10" s="203">
        <v>4</v>
      </c>
      <c r="E10" s="203"/>
      <c r="F10" s="164"/>
    </row>
    <row r="11" spans="2:9" hidden="1" outlineLevel="1">
      <c r="B11" s="164" t="s">
        <v>3</v>
      </c>
      <c r="C11" s="173"/>
      <c r="D11" s="203">
        <v>32</v>
      </c>
      <c r="E11" s="203"/>
      <c r="F11" s="164"/>
    </row>
    <row r="12" spans="2:9" ht="30.75" hidden="1" customHeight="1" outlineLevel="1">
      <c r="B12" s="166" t="s">
        <v>4</v>
      </c>
      <c r="C12" s="174"/>
      <c r="D12" s="203" t="s">
        <v>55</v>
      </c>
      <c r="E12" s="203"/>
      <c r="F12" s="164"/>
    </row>
    <row r="13" spans="2:9" collapsed="1">
      <c r="B13" s="164" t="s">
        <v>5</v>
      </c>
      <c r="C13" s="173"/>
      <c r="D13" s="203" t="s">
        <v>126</v>
      </c>
      <c r="E13" s="203"/>
      <c r="F13" s="164"/>
      <c r="I13" s="5"/>
    </row>
    <row r="14" spans="2:9" hidden="1" outlineLevel="1">
      <c r="B14" s="1" t="s">
        <v>6</v>
      </c>
      <c r="D14" s="157" t="s">
        <v>7</v>
      </c>
      <c r="E14" s="157"/>
    </row>
    <row r="15" spans="2:9" ht="30.75" hidden="1" customHeight="1" outlineLevel="1">
      <c r="B15" s="15" t="s">
        <v>8</v>
      </c>
      <c r="C15" s="73"/>
      <c r="D15" s="204" t="s">
        <v>56</v>
      </c>
      <c r="E15" s="157"/>
      <c r="I15" s="5"/>
    </row>
    <row r="16" spans="2:9" ht="16.5" collapsed="1" thickBot="1">
      <c r="B16" s="242" t="s">
        <v>176</v>
      </c>
      <c r="C16" s="242"/>
      <c r="D16" s="242"/>
      <c r="E16" s="242"/>
      <c r="F16" s="242"/>
      <c r="G16" s="242"/>
      <c r="H16" s="242"/>
      <c r="I16" s="5"/>
    </row>
    <row r="17" spans="2:14" ht="45" customHeight="1" thickBot="1">
      <c r="B17" s="181" t="s">
        <v>178</v>
      </c>
      <c r="C17" s="228" t="s">
        <v>101</v>
      </c>
      <c r="D17" s="229"/>
      <c r="E17" s="238" t="s">
        <v>9</v>
      </c>
      <c r="F17" s="239"/>
      <c r="G17" s="238" t="s">
        <v>10</v>
      </c>
      <c r="H17" s="245"/>
      <c r="I17" s="5"/>
    </row>
    <row r="18" spans="2:14">
      <c r="B18" s="151" t="s">
        <v>11</v>
      </c>
      <c r="C18" s="268">
        <v>2655453.59</v>
      </c>
      <c r="D18" s="269"/>
      <c r="E18" s="230">
        <v>1820347.5246599324</v>
      </c>
      <c r="F18" s="231"/>
      <c r="G18" s="230">
        <v>835106.06534006726</v>
      </c>
      <c r="H18" s="246"/>
      <c r="I18" s="5"/>
    </row>
    <row r="19" spans="2:14">
      <c r="B19" s="152" t="s">
        <v>12</v>
      </c>
      <c r="C19" s="232">
        <v>2500874.38</v>
      </c>
      <c r="D19" s="270"/>
      <c r="E19" s="232">
        <v>1713901.3800000001</v>
      </c>
      <c r="F19" s="233"/>
      <c r="G19" s="232">
        <v>786973</v>
      </c>
      <c r="H19" s="243"/>
      <c r="I19" s="5"/>
    </row>
    <row r="20" spans="2:14" ht="16.5" thickBot="1">
      <c r="B20" s="153" t="s">
        <v>88</v>
      </c>
      <c r="C20" s="271">
        <v>2614317.991192929</v>
      </c>
      <c r="D20" s="272"/>
      <c r="E20" s="234">
        <v>1883352.991192929</v>
      </c>
      <c r="F20" s="235"/>
      <c r="G20" s="234">
        <v>730965</v>
      </c>
      <c r="H20" s="244"/>
      <c r="I20" s="5"/>
    </row>
    <row r="21" spans="2:14" ht="27" customHeight="1" thickBot="1">
      <c r="B21" s="154" t="s">
        <v>146</v>
      </c>
      <c r="C21" s="236">
        <f>E21+G21</f>
        <v>-113443.61119292886</v>
      </c>
      <c r="D21" s="237"/>
      <c r="E21" s="247">
        <f>E19-E20</f>
        <v>-169451.61119292886</v>
      </c>
      <c r="F21" s="248"/>
      <c r="G21" s="247">
        <f>G19-G20</f>
        <v>56008</v>
      </c>
      <c r="H21" s="249"/>
      <c r="I21" s="5"/>
    </row>
    <row r="22" spans="2:14">
      <c r="B22" s="15"/>
      <c r="C22" s="73"/>
      <c r="D22" s="204"/>
      <c r="E22" s="157"/>
      <c r="I22" s="5"/>
    </row>
    <row r="23" spans="2:14" ht="31.5" customHeight="1" thickBot="1">
      <c r="B23" s="265" t="s">
        <v>179</v>
      </c>
      <c r="C23" s="265"/>
      <c r="D23" s="265"/>
      <c r="E23" s="265"/>
      <c r="F23" s="265"/>
      <c r="G23" s="265"/>
      <c r="H23" s="265"/>
      <c r="L23" s="5"/>
      <c r="M23" s="226" t="s">
        <v>148</v>
      </c>
      <c r="N23" s="226" t="s">
        <v>149</v>
      </c>
    </row>
    <row r="24" spans="2:14" ht="33.75" customHeight="1">
      <c r="B24" s="261" t="s">
        <v>94</v>
      </c>
      <c r="C24" s="259" t="s">
        <v>95</v>
      </c>
      <c r="D24" s="259" t="s">
        <v>116</v>
      </c>
      <c r="E24" s="266" t="s">
        <v>180</v>
      </c>
      <c r="F24" s="240" t="s">
        <v>96</v>
      </c>
      <c r="G24" s="241"/>
      <c r="H24" s="257" t="s">
        <v>122</v>
      </c>
      <c r="L24" s="5"/>
      <c r="M24" s="227"/>
      <c r="N24" s="227"/>
    </row>
    <row r="25" spans="2:14" ht="44.25" customHeight="1" thickBot="1">
      <c r="B25" s="262"/>
      <c r="C25" s="260"/>
      <c r="D25" s="260"/>
      <c r="E25" s="267"/>
      <c r="F25" s="17" t="s">
        <v>81</v>
      </c>
      <c r="G25" s="18" t="s">
        <v>82</v>
      </c>
      <c r="H25" s="258"/>
      <c r="M25" s="183">
        <v>176559.61</v>
      </c>
      <c r="N25" s="183">
        <f>M25*1.05</f>
        <v>185387.59049999999</v>
      </c>
    </row>
    <row r="26" spans="2:14" ht="43.5" customHeight="1">
      <c r="B26" s="19" t="s">
        <v>86</v>
      </c>
      <c r="C26" s="20" t="s">
        <v>97</v>
      </c>
      <c r="D26" s="21" t="s">
        <v>98</v>
      </c>
      <c r="E26" s="22">
        <v>1.06</v>
      </c>
      <c r="F26" s="23">
        <f>$M$25/$M$26*E26</f>
        <v>18942.630222672058</v>
      </c>
      <c r="G26" s="24">
        <f>$N$25/$N$26*E26</f>
        <v>19889.761733805663</v>
      </c>
      <c r="H26" s="25">
        <f>F26-G26</f>
        <v>-947.13151113360436</v>
      </c>
      <c r="I26" s="26"/>
      <c r="J26" s="199"/>
      <c r="K26" s="199"/>
      <c r="L26" s="27"/>
      <c r="M26" s="185">
        <f>E35-E33</f>
        <v>9.8800000000000026</v>
      </c>
      <c r="N26" s="185">
        <f>E35-E33</f>
        <v>9.8800000000000026</v>
      </c>
    </row>
    <row r="27" spans="2:14" ht="51">
      <c r="B27" s="28" t="s">
        <v>90</v>
      </c>
      <c r="C27" s="20" t="s">
        <v>97</v>
      </c>
      <c r="D27" s="21" t="s">
        <v>98</v>
      </c>
      <c r="E27" s="29">
        <v>1.19</v>
      </c>
      <c r="F27" s="23">
        <f t="shared" ref="F27:F34" si="0">$M$25/$M$26*E27</f>
        <v>21265.782985829952</v>
      </c>
      <c r="G27" s="24">
        <f t="shared" ref="G27:G28" si="1">$N$25/$N$26*E27</f>
        <v>22329.072135121449</v>
      </c>
      <c r="H27" s="25">
        <f t="shared" ref="H27:H32" si="2">F27-G27</f>
        <v>-1063.2891492914969</v>
      </c>
      <c r="I27" s="31"/>
      <c r="J27" s="2"/>
      <c r="K27" s="2"/>
      <c r="L27" s="2"/>
      <c r="M27" s="186"/>
      <c r="N27" s="186"/>
    </row>
    <row r="28" spans="2:14" ht="36" customHeight="1">
      <c r="B28" s="32" t="s">
        <v>83</v>
      </c>
      <c r="C28" s="20" t="s">
        <v>97</v>
      </c>
      <c r="D28" s="21" t="s">
        <v>98</v>
      </c>
      <c r="E28" s="29">
        <v>0.32</v>
      </c>
      <c r="F28" s="23">
        <f t="shared" si="0"/>
        <v>5718.5298785425084</v>
      </c>
      <c r="G28" s="24">
        <f t="shared" si="1"/>
        <v>6004.4563724696336</v>
      </c>
      <c r="H28" s="25">
        <f t="shared" si="2"/>
        <v>-285.92649392712519</v>
      </c>
      <c r="I28" s="33"/>
      <c r="L28" s="5"/>
    </row>
    <row r="29" spans="2:14" ht="25.5">
      <c r="B29" s="32" t="s">
        <v>84</v>
      </c>
      <c r="C29" s="34" t="s">
        <v>99</v>
      </c>
      <c r="D29" s="21" t="s">
        <v>98</v>
      </c>
      <c r="E29" s="29">
        <v>0.22</v>
      </c>
      <c r="F29" s="23">
        <f t="shared" si="0"/>
        <v>3931.4892914979746</v>
      </c>
      <c r="G29" s="24">
        <f t="shared" ref="G29:G31" si="3">$N$25/$N$26*E29</f>
        <v>4128.0637560728728</v>
      </c>
      <c r="H29" s="25">
        <f t="shared" si="2"/>
        <v>-196.57446457489823</v>
      </c>
      <c r="I29" s="33"/>
      <c r="L29" s="5"/>
    </row>
    <row r="30" spans="2:14" ht="51">
      <c r="B30" s="28" t="s">
        <v>87</v>
      </c>
      <c r="C30" s="20" t="s">
        <v>137</v>
      </c>
      <c r="D30" s="21" t="s">
        <v>98</v>
      </c>
      <c r="E30" s="29">
        <v>1.18</v>
      </c>
      <c r="F30" s="23">
        <f t="shared" si="0"/>
        <v>21087.078927125498</v>
      </c>
      <c r="G30" s="24">
        <f t="shared" si="3"/>
        <v>22141.432873481772</v>
      </c>
      <c r="H30" s="25">
        <f t="shared" si="2"/>
        <v>-1054.3539463562738</v>
      </c>
      <c r="I30" s="33"/>
    </row>
    <row r="31" spans="2:14" ht="219" customHeight="1">
      <c r="B31" s="28" t="s">
        <v>121</v>
      </c>
      <c r="C31" s="20" t="s">
        <v>100</v>
      </c>
      <c r="D31" s="21" t="s">
        <v>98</v>
      </c>
      <c r="E31" s="29">
        <v>5.53</v>
      </c>
      <c r="F31" s="23">
        <f t="shared" si="0"/>
        <v>98823.344463562724</v>
      </c>
      <c r="G31" s="24">
        <f t="shared" si="3"/>
        <v>103764.51168674085</v>
      </c>
      <c r="H31" s="25">
        <f t="shared" si="2"/>
        <v>-4941.1672231781267</v>
      </c>
      <c r="I31" s="31"/>
      <c r="J31" s="2"/>
      <c r="K31" s="2"/>
      <c r="L31" s="4"/>
      <c r="M31" s="186"/>
      <c r="N31" s="186"/>
    </row>
    <row r="32" spans="2:14" ht="108.75" customHeight="1">
      <c r="B32" s="28" t="s">
        <v>102</v>
      </c>
      <c r="C32" s="20" t="s">
        <v>97</v>
      </c>
      <c r="D32" s="21" t="s">
        <v>98</v>
      </c>
      <c r="E32" s="29">
        <v>0.24</v>
      </c>
      <c r="F32" s="23">
        <f t="shared" si="0"/>
        <v>4288.8974089068806</v>
      </c>
      <c r="G32" s="24">
        <f t="shared" ref="G32" si="4">$N$25/$N$26*E32</f>
        <v>4503.342279352225</v>
      </c>
      <c r="H32" s="25">
        <f t="shared" si="2"/>
        <v>-214.44487044534435</v>
      </c>
      <c r="I32" s="33"/>
    </row>
    <row r="33" spans="2:14" ht="27" customHeight="1">
      <c r="B33" s="32" t="s">
        <v>91</v>
      </c>
      <c r="C33" s="20" t="s">
        <v>97</v>
      </c>
      <c r="D33" s="21" t="s">
        <v>98</v>
      </c>
      <c r="E33" s="29">
        <v>4.97</v>
      </c>
      <c r="F33" s="23">
        <v>88815.91</v>
      </c>
      <c r="G33" s="30">
        <v>156050</v>
      </c>
      <c r="H33" s="25">
        <f>F33-G33</f>
        <v>-67234.09</v>
      </c>
      <c r="I33" s="33"/>
      <c r="L33" s="5"/>
    </row>
    <row r="34" spans="2:14" ht="16.5" thickBot="1">
      <c r="B34" s="62" t="s">
        <v>85</v>
      </c>
      <c r="C34" s="36" t="s">
        <v>100</v>
      </c>
      <c r="D34" s="37" t="s">
        <v>98</v>
      </c>
      <c r="E34" s="38">
        <v>0.14000000000000001</v>
      </c>
      <c r="F34" s="23">
        <f t="shared" si="0"/>
        <v>2501.8568218623477</v>
      </c>
      <c r="G34" s="24">
        <f t="shared" ref="G34" si="5">$N$25/$N$26*E34</f>
        <v>2626.9496629554646</v>
      </c>
      <c r="H34" s="25">
        <f>F34-G34</f>
        <v>-125.09284109311693</v>
      </c>
      <c r="I34" s="33"/>
    </row>
    <row r="35" spans="2:14" ht="16.5" thickBot="1">
      <c r="B35" s="39" t="s">
        <v>89</v>
      </c>
      <c r="C35" s="40"/>
      <c r="D35" s="40"/>
      <c r="E35" s="41">
        <f>SUM(E26:E34)</f>
        <v>14.850000000000001</v>
      </c>
      <c r="F35" s="42">
        <f>SUM(F26:F34)</f>
        <v>265375.51999999996</v>
      </c>
      <c r="G35" s="43">
        <f>SUM(G26:G34)</f>
        <v>341437.59049999993</v>
      </c>
      <c r="H35" s="44">
        <f>SUM(H26:H34)</f>
        <v>-76062.070499999987</v>
      </c>
      <c r="I35" s="65"/>
    </row>
    <row r="36" spans="2:14">
      <c r="B36" s="5"/>
      <c r="C36" s="5"/>
      <c r="D36" s="5"/>
      <c r="E36" s="14"/>
      <c r="F36" s="14"/>
      <c r="G36" s="14"/>
      <c r="H36" s="3"/>
    </row>
    <row r="37" spans="2:14" ht="16.5" customHeight="1" thickBot="1">
      <c r="B37" s="242" t="s">
        <v>181</v>
      </c>
      <c r="C37" s="242"/>
      <c r="D37" s="242"/>
      <c r="E37" s="242"/>
      <c r="F37" s="242"/>
      <c r="G37" s="242"/>
      <c r="H37" s="242"/>
      <c r="I37" s="45"/>
      <c r="J37" s="45"/>
    </row>
    <row r="38" spans="2:14" ht="53.25" customHeight="1" thickBot="1">
      <c r="B38" s="181" t="s">
        <v>182</v>
      </c>
      <c r="C38" s="228" t="s">
        <v>101</v>
      </c>
      <c r="D38" s="229"/>
      <c r="E38" s="238" t="s">
        <v>9</v>
      </c>
      <c r="F38" s="239"/>
      <c r="G38" s="238" t="s">
        <v>10</v>
      </c>
      <c r="H38" s="245"/>
      <c r="I38" s="170"/>
      <c r="J38" s="159"/>
      <c r="K38" s="46"/>
      <c r="L38" s="47"/>
      <c r="M38" s="187"/>
      <c r="N38" s="187"/>
    </row>
    <row r="39" spans="2:14">
      <c r="B39" s="151" t="s">
        <v>11</v>
      </c>
      <c r="C39" s="230">
        <f>E39+G39</f>
        <v>2920829.1099999994</v>
      </c>
      <c r="D39" s="231"/>
      <c r="E39" s="230">
        <f>F26+F27+F28+F29+F30+F31+F32+F34+E18</f>
        <v>1996907.1346599322</v>
      </c>
      <c r="F39" s="231"/>
      <c r="G39" s="230">
        <f>F33+G18</f>
        <v>923921.97534006729</v>
      </c>
      <c r="H39" s="246"/>
      <c r="I39" s="160"/>
      <c r="J39" s="161"/>
      <c r="K39" s="49"/>
      <c r="L39" s="49"/>
      <c r="M39" s="188"/>
    </row>
    <row r="40" spans="2:14">
      <c r="B40" s="152" t="s">
        <v>12</v>
      </c>
      <c r="C40" s="232">
        <f>E40+G40</f>
        <v>2755648.75</v>
      </c>
      <c r="D40" s="233"/>
      <c r="E40" s="232">
        <f>E19+169506.45</f>
        <v>1883407.83</v>
      </c>
      <c r="F40" s="233"/>
      <c r="G40" s="232">
        <f>G19+85267.92</f>
        <v>872240.92</v>
      </c>
      <c r="H40" s="243"/>
      <c r="I40" s="160"/>
      <c r="J40" s="162"/>
      <c r="K40" s="51"/>
      <c r="L40" s="49"/>
      <c r="M40" s="188"/>
    </row>
    <row r="41" spans="2:14" ht="16.5" thickBot="1">
      <c r="B41" s="153" t="s">
        <v>88</v>
      </c>
      <c r="C41" s="234">
        <f>E41+G41</f>
        <v>2955755.5816929289</v>
      </c>
      <c r="D41" s="235"/>
      <c r="E41" s="234">
        <f>G26+G27+G28+G29+G30+G31+G32+G34+E20</f>
        <v>2068740.5816929289</v>
      </c>
      <c r="F41" s="235"/>
      <c r="G41" s="234">
        <f>G33+G20</f>
        <v>887015</v>
      </c>
      <c r="H41" s="244"/>
      <c r="I41" s="160"/>
      <c r="J41" s="48"/>
      <c r="K41" s="33"/>
      <c r="L41" s="33"/>
    </row>
    <row r="42" spans="2:14" ht="27.75" customHeight="1" thickBot="1">
      <c r="B42" s="154" t="s">
        <v>147</v>
      </c>
      <c r="C42" s="236">
        <f>E42+G42</f>
        <v>-200106.8316929288</v>
      </c>
      <c r="D42" s="237"/>
      <c r="E42" s="247">
        <f>E40-E41</f>
        <v>-185332.75169292884</v>
      </c>
      <c r="F42" s="248"/>
      <c r="G42" s="247">
        <f>G40-G41</f>
        <v>-14774.079999999958</v>
      </c>
      <c r="H42" s="249"/>
      <c r="I42" s="163"/>
      <c r="J42" s="148"/>
      <c r="K42" s="33"/>
      <c r="L42" s="33"/>
    </row>
    <row r="43" spans="2:14" ht="12" customHeight="1">
      <c r="B43" s="76"/>
      <c r="C43" s="146"/>
      <c r="D43" s="146"/>
      <c r="E43" s="148"/>
      <c r="F43" s="148"/>
      <c r="G43" s="148"/>
      <c r="H43" s="148"/>
      <c r="I43" s="171"/>
      <c r="J43" s="31"/>
      <c r="K43" s="2"/>
      <c r="L43" s="2"/>
      <c r="M43" s="186"/>
      <c r="N43" s="186"/>
    </row>
    <row r="44" spans="2:14" ht="15.75" customHeight="1">
      <c r="B44" s="52" t="s">
        <v>77</v>
      </c>
      <c r="C44" s="225" t="s">
        <v>150</v>
      </c>
      <c r="D44" s="225"/>
      <c r="E44" s="225"/>
      <c r="F44" s="251" t="s">
        <v>174</v>
      </c>
      <c r="G44" s="251"/>
      <c r="H44" s="52"/>
      <c r="I44" s="171"/>
      <c r="J44" s="31"/>
      <c r="K44" s="2"/>
      <c r="L44" s="2"/>
      <c r="M44" s="186"/>
      <c r="N44" s="186"/>
    </row>
    <row r="45" spans="2:14" ht="8.25" customHeight="1">
      <c r="B45" s="52"/>
      <c r="C45" s="53"/>
      <c r="D45" s="53"/>
      <c r="E45" s="211"/>
      <c r="F45" s="252"/>
      <c r="G45" s="252"/>
      <c r="H45" s="52"/>
      <c r="I45" s="52"/>
      <c r="J45" s="2"/>
      <c r="K45" s="2"/>
      <c r="L45" s="2"/>
      <c r="M45" s="186"/>
      <c r="N45" s="186"/>
    </row>
    <row r="46" spans="2:14" ht="15.75" customHeight="1">
      <c r="B46" s="52" t="s">
        <v>78</v>
      </c>
      <c r="C46" s="225" t="s">
        <v>150</v>
      </c>
      <c r="D46" s="225"/>
      <c r="E46" s="225"/>
      <c r="F46" s="251" t="s">
        <v>93</v>
      </c>
      <c r="G46" s="251"/>
      <c r="H46" s="52"/>
      <c r="I46" s="52"/>
    </row>
    <row r="47" spans="2:14" ht="8.25" customHeight="1">
      <c r="B47" s="52"/>
      <c r="C47" s="53"/>
      <c r="D47" s="53"/>
      <c r="E47" s="211"/>
      <c r="F47" s="251"/>
      <c r="G47" s="251"/>
      <c r="H47" s="52"/>
      <c r="I47" s="52"/>
    </row>
    <row r="48" spans="2:14" ht="18" customHeight="1">
      <c r="B48" s="52" t="s">
        <v>79</v>
      </c>
      <c r="C48" s="225" t="s">
        <v>151</v>
      </c>
      <c r="D48" s="225"/>
      <c r="E48" s="225"/>
      <c r="F48" s="251" t="s">
        <v>175</v>
      </c>
      <c r="G48" s="251"/>
      <c r="H48" s="52"/>
      <c r="I48" s="6"/>
    </row>
    <row r="49" spans="2:9" ht="10.5" customHeight="1">
      <c r="B49" s="54"/>
      <c r="C49" s="55"/>
      <c r="D49" s="55"/>
      <c r="E49" s="211"/>
      <c r="F49" s="197"/>
      <c r="G49" s="54"/>
      <c r="H49" s="56"/>
      <c r="I49" s="52"/>
    </row>
    <row r="50" spans="2:9" ht="14.25" customHeight="1">
      <c r="B50" s="52" t="s">
        <v>80</v>
      </c>
      <c r="C50" s="225" t="s">
        <v>151</v>
      </c>
      <c r="D50" s="225"/>
      <c r="E50" s="225"/>
      <c r="F50" s="251" t="s">
        <v>175</v>
      </c>
      <c r="G50" s="251"/>
      <c r="H50" s="52"/>
    </row>
    <row r="51" spans="2:9">
      <c r="E51" s="200"/>
    </row>
  </sheetData>
  <mergeCells count="57">
    <mergeCell ref="C41:D41"/>
    <mergeCell ref="B1:H1"/>
    <mergeCell ref="B5:H6"/>
    <mergeCell ref="D8:E8"/>
    <mergeCell ref="B23:H23"/>
    <mergeCell ref="B24:B25"/>
    <mergeCell ref="C24:C25"/>
    <mergeCell ref="D24:D25"/>
    <mergeCell ref="E24:E25"/>
    <mergeCell ref="F24:G24"/>
    <mergeCell ref="B2:H2"/>
    <mergeCell ref="B3:H3"/>
    <mergeCell ref="B4:H4"/>
    <mergeCell ref="H24:H25"/>
    <mergeCell ref="B37:H37"/>
    <mergeCell ref="G38:H38"/>
    <mergeCell ref="C38:D38"/>
    <mergeCell ref="C39:D39"/>
    <mergeCell ref="C40:D40"/>
    <mergeCell ref="E39:F39"/>
    <mergeCell ref="E38:F38"/>
    <mergeCell ref="G39:H39"/>
    <mergeCell ref="E40:F40"/>
    <mergeCell ref="E41:F41"/>
    <mergeCell ref="F44:G44"/>
    <mergeCell ref="G40:H40"/>
    <mergeCell ref="G41:H41"/>
    <mergeCell ref="B16:H16"/>
    <mergeCell ref="C17:D17"/>
    <mergeCell ref="E17:F17"/>
    <mergeCell ref="G17:H17"/>
    <mergeCell ref="C18:D18"/>
    <mergeCell ref="E18:F18"/>
    <mergeCell ref="G18:H18"/>
    <mergeCell ref="C19:D19"/>
    <mergeCell ref="E19:F19"/>
    <mergeCell ref="G19:H19"/>
    <mergeCell ref="C20:D20"/>
    <mergeCell ref="E20:F20"/>
    <mergeCell ref="G20:H20"/>
    <mergeCell ref="C21:D21"/>
    <mergeCell ref="E21:F21"/>
    <mergeCell ref="G21:H21"/>
    <mergeCell ref="M23:M24"/>
    <mergeCell ref="N23:N24"/>
    <mergeCell ref="C50:E50"/>
    <mergeCell ref="F50:G50"/>
    <mergeCell ref="C42:D42"/>
    <mergeCell ref="C44:E44"/>
    <mergeCell ref="C46:E46"/>
    <mergeCell ref="C48:E48"/>
    <mergeCell ref="F48:G48"/>
    <mergeCell ref="F46:G46"/>
    <mergeCell ref="F47:G47"/>
    <mergeCell ref="E42:F42"/>
    <mergeCell ref="F45:G45"/>
    <mergeCell ref="G42:H42"/>
  </mergeCells>
  <printOptions horizontalCentered="1"/>
  <pageMargins left="0.19685039370078741" right="0.19685039370078741" top="0.15748031496062992" bottom="0.24" header="0.16" footer="0.24"/>
  <pageSetup paperSize="9" scale="47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 codeName="Лист16">
    <tabColor rgb="FF0070C0"/>
    <pageSetUpPr fitToPage="1"/>
  </sheetPr>
  <dimension ref="A1:S51"/>
  <sheetViews>
    <sheetView zoomScale="110" zoomScaleNormal="110" workbookViewId="0">
      <selection activeCell="L18" sqref="L1:S1048576"/>
    </sheetView>
  </sheetViews>
  <sheetFormatPr defaultColWidth="9.140625" defaultRowHeight="15.75" outlineLevelRow="1"/>
  <cols>
    <col min="1" max="1" width="2.85546875" style="1" customWidth="1"/>
    <col min="2" max="2" width="55.85546875" style="1" customWidth="1"/>
    <col min="3" max="3" width="16.7109375" style="14" customWidth="1"/>
    <col min="4" max="4" width="8.85546875" style="3" customWidth="1"/>
    <col min="5" max="5" width="9.5703125" style="3" customWidth="1"/>
    <col min="6" max="6" width="10.140625" style="1" customWidth="1"/>
    <col min="7" max="7" width="10.42578125" style="1" customWidth="1"/>
    <col min="8" max="8" width="11" style="1" customWidth="1"/>
    <col min="9" max="9" width="15.85546875" style="1" customWidth="1"/>
    <col min="10" max="10" width="15.5703125" style="1" customWidth="1"/>
    <col min="11" max="11" width="9.140625" style="1"/>
    <col min="12" max="12" width="11.28515625" style="182" customWidth="1"/>
    <col min="13" max="13" width="17.140625" style="182" customWidth="1"/>
    <col min="14" max="14" width="16.140625" style="182" customWidth="1"/>
    <col min="15" max="19" width="9.140625" style="182"/>
    <col min="20" max="16384" width="9.140625" style="1"/>
  </cols>
  <sheetData>
    <row r="1" spans="1:9">
      <c r="B1" s="255" t="s">
        <v>119</v>
      </c>
      <c r="C1" s="255"/>
      <c r="D1" s="255"/>
      <c r="E1" s="255"/>
      <c r="F1" s="255"/>
      <c r="G1" s="255"/>
      <c r="H1" s="255"/>
    </row>
    <row r="2" spans="1:9">
      <c r="B2" s="255" t="s">
        <v>120</v>
      </c>
      <c r="C2" s="255"/>
      <c r="D2" s="255"/>
      <c r="E2" s="255"/>
      <c r="F2" s="255"/>
      <c r="G2" s="255"/>
      <c r="H2" s="255"/>
    </row>
    <row r="3" spans="1:9">
      <c r="B3" s="255" t="s">
        <v>166</v>
      </c>
      <c r="C3" s="255"/>
      <c r="D3" s="255"/>
      <c r="E3" s="255"/>
      <c r="F3" s="255"/>
      <c r="G3" s="255"/>
      <c r="H3" s="255"/>
    </row>
    <row r="4" spans="1:9" ht="15" customHeight="1">
      <c r="B4" s="255" t="s">
        <v>183</v>
      </c>
      <c r="C4" s="255"/>
      <c r="D4" s="255"/>
      <c r="E4" s="255"/>
      <c r="F4" s="255"/>
      <c r="G4" s="255"/>
      <c r="H4" s="255"/>
    </row>
    <row r="5" spans="1:9" ht="19.5" customHeight="1">
      <c r="A5" s="138"/>
      <c r="B5" s="256" t="s">
        <v>177</v>
      </c>
      <c r="C5" s="256"/>
      <c r="D5" s="256"/>
      <c r="E5" s="256"/>
      <c r="F5" s="256"/>
      <c r="G5" s="256"/>
      <c r="H5" s="256"/>
    </row>
    <row r="6" spans="1:9" ht="20.25" customHeight="1">
      <c r="A6" s="138"/>
      <c r="B6" s="256"/>
      <c r="C6" s="256"/>
      <c r="D6" s="256"/>
      <c r="E6" s="256"/>
      <c r="F6" s="256"/>
      <c r="G6" s="256"/>
      <c r="H6" s="256"/>
    </row>
    <row r="7" spans="1:9" ht="8.25" customHeight="1"/>
    <row r="8" spans="1:9">
      <c r="B8" s="164" t="s">
        <v>0</v>
      </c>
      <c r="C8" s="165"/>
      <c r="D8" s="263" t="s">
        <v>57</v>
      </c>
      <c r="E8" s="263"/>
    </row>
    <row r="9" spans="1:9">
      <c r="B9" s="164" t="s">
        <v>1</v>
      </c>
      <c r="C9" s="165"/>
      <c r="D9" s="203">
        <v>1968</v>
      </c>
      <c r="E9" s="203"/>
    </row>
    <row r="10" spans="1:9" hidden="1" outlineLevel="1">
      <c r="B10" s="164" t="s">
        <v>2</v>
      </c>
      <c r="C10" s="165"/>
      <c r="D10" s="203">
        <v>4</v>
      </c>
      <c r="E10" s="203"/>
    </row>
    <row r="11" spans="1:9" hidden="1" outlineLevel="1">
      <c r="B11" s="164" t="s">
        <v>3</v>
      </c>
      <c r="C11" s="165"/>
      <c r="D11" s="203">
        <v>32</v>
      </c>
      <c r="E11" s="203"/>
    </row>
    <row r="12" spans="1:9" ht="30.75" hidden="1" customHeight="1" outlineLevel="1">
      <c r="B12" s="166" t="s">
        <v>4</v>
      </c>
      <c r="C12" s="167"/>
      <c r="D12" s="203" t="s">
        <v>58</v>
      </c>
      <c r="E12" s="203"/>
    </row>
    <row r="13" spans="1:9" collapsed="1">
      <c r="B13" s="164" t="s">
        <v>5</v>
      </c>
      <c r="C13" s="165"/>
      <c r="D13" s="203" t="s">
        <v>114</v>
      </c>
      <c r="E13" s="203"/>
      <c r="I13" s="5"/>
    </row>
    <row r="14" spans="1:9">
      <c r="B14" s="164" t="s">
        <v>6</v>
      </c>
      <c r="C14" s="165"/>
      <c r="D14" s="203" t="s">
        <v>59</v>
      </c>
      <c r="E14" s="203"/>
    </row>
    <row r="15" spans="1:9" ht="30.75" hidden="1" customHeight="1" outlineLevel="1">
      <c r="B15" s="15" t="s">
        <v>8</v>
      </c>
      <c r="C15" s="16"/>
      <c r="D15" s="204" t="s">
        <v>60</v>
      </c>
      <c r="E15" s="157"/>
      <c r="I15" s="5"/>
    </row>
    <row r="16" spans="1:9" ht="16.5" collapsed="1" thickBot="1">
      <c r="B16" s="242" t="s">
        <v>176</v>
      </c>
      <c r="C16" s="242"/>
      <c r="D16" s="242"/>
      <c r="E16" s="242"/>
      <c r="F16" s="242"/>
      <c r="G16" s="242"/>
      <c r="H16" s="242"/>
      <c r="I16" s="5"/>
    </row>
    <row r="17" spans="2:15" ht="45" customHeight="1" thickBot="1">
      <c r="B17" s="181" t="s">
        <v>178</v>
      </c>
      <c r="C17" s="228" t="s">
        <v>101</v>
      </c>
      <c r="D17" s="229"/>
      <c r="E17" s="238" t="s">
        <v>9</v>
      </c>
      <c r="F17" s="239"/>
      <c r="G17" s="238" t="s">
        <v>10</v>
      </c>
      <c r="H17" s="245"/>
      <c r="I17" s="5"/>
    </row>
    <row r="18" spans="2:15">
      <c r="B18" s="151" t="s">
        <v>11</v>
      </c>
      <c r="C18" s="268">
        <v>2106859.8502124045</v>
      </c>
      <c r="D18" s="269"/>
      <c r="E18" s="230">
        <v>1725374.3302124045</v>
      </c>
      <c r="F18" s="231"/>
      <c r="G18" s="230">
        <v>381485.52</v>
      </c>
      <c r="H18" s="246"/>
      <c r="I18" s="5"/>
    </row>
    <row r="19" spans="2:15">
      <c r="B19" s="152" t="s">
        <v>12</v>
      </c>
      <c r="C19" s="232">
        <v>1880221.6178419711</v>
      </c>
      <c r="D19" s="270"/>
      <c r="E19" s="232">
        <v>1539853.727841971</v>
      </c>
      <c r="F19" s="233"/>
      <c r="G19" s="232">
        <v>340367.89</v>
      </c>
      <c r="H19" s="243"/>
      <c r="I19" s="5"/>
    </row>
    <row r="20" spans="2:15" ht="16.5" thickBot="1">
      <c r="B20" s="153" t="s">
        <v>88</v>
      </c>
      <c r="C20" s="271">
        <v>2273583.2853999995</v>
      </c>
      <c r="D20" s="272"/>
      <c r="E20" s="234">
        <v>1747092.2853999997</v>
      </c>
      <c r="F20" s="235"/>
      <c r="G20" s="234">
        <v>526491</v>
      </c>
      <c r="H20" s="244"/>
      <c r="I20" s="5"/>
    </row>
    <row r="21" spans="2:15" ht="30.75" customHeight="1" thickBot="1">
      <c r="B21" s="154" t="s">
        <v>146</v>
      </c>
      <c r="C21" s="236">
        <f>E21+G21</f>
        <v>-393361.66755802871</v>
      </c>
      <c r="D21" s="237"/>
      <c r="E21" s="247">
        <f>E19-E20</f>
        <v>-207238.55755802873</v>
      </c>
      <c r="F21" s="248"/>
      <c r="G21" s="247">
        <f>G19-G20</f>
        <v>-186123.11</v>
      </c>
      <c r="H21" s="249"/>
      <c r="I21" s="5"/>
    </row>
    <row r="22" spans="2:15">
      <c r="B22" s="15"/>
      <c r="C22" s="16"/>
      <c r="D22" s="204"/>
      <c r="E22" s="157"/>
      <c r="I22" s="5"/>
    </row>
    <row r="23" spans="2:15" ht="33.75" customHeight="1" thickBot="1">
      <c r="B23" s="265" t="s">
        <v>179</v>
      </c>
      <c r="C23" s="265"/>
      <c r="D23" s="265"/>
      <c r="E23" s="265"/>
      <c r="F23" s="265"/>
      <c r="G23" s="265"/>
      <c r="H23" s="265"/>
      <c r="L23" s="212"/>
      <c r="M23" s="226" t="s">
        <v>148</v>
      </c>
      <c r="N23" s="226" t="s">
        <v>149</v>
      </c>
    </row>
    <row r="24" spans="2:15" ht="33.75" customHeight="1">
      <c r="B24" s="261" t="s">
        <v>94</v>
      </c>
      <c r="C24" s="259" t="s">
        <v>95</v>
      </c>
      <c r="D24" s="259" t="s">
        <v>116</v>
      </c>
      <c r="E24" s="266" t="s">
        <v>180</v>
      </c>
      <c r="F24" s="240" t="s">
        <v>96</v>
      </c>
      <c r="G24" s="241"/>
      <c r="H24" s="257" t="s">
        <v>122</v>
      </c>
      <c r="L24" s="212"/>
      <c r="M24" s="227"/>
      <c r="N24" s="227"/>
    </row>
    <row r="25" spans="2:15" ht="37.5" customHeight="1" thickBot="1">
      <c r="B25" s="262"/>
      <c r="C25" s="260"/>
      <c r="D25" s="260"/>
      <c r="E25" s="267"/>
      <c r="F25" s="17" t="s">
        <v>81</v>
      </c>
      <c r="G25" s="18" t="s">
        <v>82</v>
      </c>
      <c r="H25" s="258"/>
      <c r="M25" s="185">
        <v>211067.62</v>
      </c>
      <c r="N25" s="183">
        <f>M25*1.05</f>
        <v>221621.00100000002</v>
      </c>
    </row>
    <row r="26" spans="2:15" ht="43.5" customHeight="1">
      <c r="B26" s="19" t="s">
        <v>86</v>
      </c>
      <c r="C26" s="20" t="s">
        <v>97</v>
      </c>
      <c r="D26" s="21" t="s">
        <v>98</v>
      </c>
      <c r="E26" s="22">
        <v>1.06</v>
      </c>
      <c r="F26" s="23">
        <f>($M$25+$M$27)/$M$26*E26</f>
        <v>19497.226270732783</v>
      </c>
      <c r="G26" s="24">
        <f>($N$25+$N$27)/$N$26*E26</f>
        <v>20472.087584269422</v>
      </c>
      <c r="H26" s="25">
        <f>F26-G26</f>
        <v>-974.8613135366395</v>
      </c>
      <c r="I26" s="26"/>
      <c r="J26" s="199"/>
      <c r="K26" s="199"/>
      <c r="L26" s="214"/>
      <c r="M26" s="185">
        <f>E36-E33</f>
        <v>11.869999999999997</v>
      </c>
      <c r="N26" s="185">
        <f>E36-E33</f>
        <v>11.869999999999997</v>
      </c>
      <c r="O26" s="185">
        <f>E36-E33</f>
        <v>11.869999999999997</v>
      </c>
    </row>
    <row r="27" spans="2:15" ht="51">
      <c r="B27" s="28" t="s">
        <v>90</v>
      </c>
      <c r="C27" s="20" t="s">
        <v>97</v>
      </c>
      <c r="D27" s="21" t="s">
        <v>98</v>
      </c>
      <c r="E27" s="29">
        <v>1.19</v>
      </c>
      <c r="F27" s="23">
        <f t="shared" ref="F27:F35" si="0">($M$25+$M$27)/$M$26*E27</f>
        <v>21888.39553035095</v>
      </c>
      <c r="G27" s="24">
        <f t="shared" ref="G27:G32" si="1">($N$25+$N$27)/$N$26*E27</f>
        <v>22982.815306868499</v>
      </c>
      <c r="H27" s="25">
        <f t="shared" ref="H27:H32" si="2">F27-G27</f>
        <v>-1094.4197765175486</v>
      </c>
      <c r="I27" s="31"/>
      <c r="J27" s="2"/>
      <c r="K27" s="2"/>
      <c r="L27" s="189" t="s">
        <v>133</v>
      </c>
      <c r="M27" s="188">
        <f>M28/E36*M26</f>
        <v>7264.5270128283455</v>
      </c>
      <c r="N27" s="188">
        <f>N28/E36*N26</f>
        <v>7627.7533634697629</v>
      </c>
      <c r="O27" s="188">
        <f>O28/E36*O26</f>
        <v>13483.652901649359</v>
      </c>
    </row>
    <row r="28" spans="2:15" ht="31.5" customHeight="1">
      <c r="B28" s="32" t="s">
        <v>83</v>
      </c>
      <c r="C28" s="20" t="s">
        <v>97</v>
      </c>
      <c r="D28" s="21" t="s">
        <v>98</v>
      </c>
      <c r="E28" s="29">
        <v>0.32</v>
      </c>
      <c r="F28" s="23">
        <f t="shared" si="0"/>
        <v>5885.955100598575</v>
      </c>
      <c r="G28" s="24">
        <f t="shared" si="1"/>
        <v>6180.2528556285042</v>
      </c>
      <c r="H28" s="25">
        <f t="shared" si="2"/>
        <v>-294.29775502992925</v>
      </c>
      <c r="I28" s="33"/>
      <c r="L28" s="189" t="s">
        <v>131</v>
      </c>
      <c r="M28" s="189">
        <f>9229.11+789.45</f>
        <v>10018.560000000001</v>
      </c>
      <c r="N28" s="189">
        <f>M28*1.05</f>
        <v>10519.488000000001</v>
      </c>
      <c r="O28" s="189">
        <f>18595.4</f>
        <v>18595.400000000001</v>
      </c>
    </row>
    <row r="29" spans="2:15" ht="25.5">
      <c r="B29" s="32" t="s">
        <v>84</v>
      </c>
      <c r="C29" s="34" t="s">
        <v>99</v>
      </c>
      <c r="D29" s="21" t="s">
        <v>98</v>
      </c>
      <c r="E29" s="29">
        <v>0.5</v>
      </c>
      <c r="F29" s="23">
        <f t="shared" si="0"/>
        <v>9196.8048446852736</v>
      </c>
      <c r="G29" s="24">
        <f t="shared" si="1"/>
        <v>9656.6450869195378</v>
      </c>
      <c r="H29" s="25">
        <f t="shared" si="2"/>
        <v>-459.84024223426422</v>
      </c>
      <c r="I29" s="33"/>
      <c r="L29" s="188" t="s">
        <v>134</v>
      </c>
      <c r="M29" s="188">
        <f>M28/E36*E33</f>
        <v>2754.0329871716563</v>
      </c>
      <c r="N29" s="188"/>
      <c r="O29" s="188">
        <f>O28/E36*E33</f>
        <v>5111.7470983506428</v>
      </c>
    </row>
    <row r="30" spans="2:15" ht="51">
      <c r="B30" s="28" t="s">
        <v>87</v>
      </c>
      <c r="C30" s="20" t="s">
        <v>137</v>
      </c>
      <c r="D30" s="21" t="s">
        <v>98</v>
      </c>
      <c r="E30" s="29">
        <v>1.18</v>
      </c>
      <c r="F30" s="23">
        <f t="shared" si="0"/>
        <v>21704.459433457243</v>
      </c>
      <c r="G30" s="24">
        <f t="shared" si="1"/>
        <v>22789.682405130108</v>
      </c>
      <c r="H30" s="25">
        <f t="shared" si="2"/>
        <v>-1085.2229716728652</v>
      </c>
      <c r="I30" s="33"/>
    </row>
    <row r="31" spans="2:15" ht="218.25" customHeight="1">
      <c r="B31" s="28" t="s">
        <v>121</v>
      </c>
      <c r="C31" s="20" t="s">
        <v>100</v>
      </c>
      <c r="D31" s="21" t="s">
        <v>98</v>
      </c>
      <c r="E31" s="29">
        <v>5.61</v>
      </c>
      <c r="F31" s="23">
        <f t="shared" si="0"/>
        <v>103188.15035736878</v>
      </c>
      <c r="G31" s="24">
        <f t="shared" si="1"/>
        <v>108347.55787523722</v>
      </c>
      <c r="H31" s="25">
        <f t="shared" si="2"/>
        <v>-5159.4075178684434</v>
      </c>
      <c r="I31" s="31"/>
      <c r="J31" s="2"/>
      <c r="K31" s="2"/>
      <c r="L31" s="215"/>
      <c r="M31" s="186"/>
      <c r="N31" s="186"/>
    </row>
    <row r="32" spans="2:15" ht="116.25" customHeight="1">
      <c r="B32" s="28" t="s">
        <v>102</v>
      </c>
      <c r="C32" s="20" t="s">
        <v>97</v>
      </c>
      <c r="D32" s="21" t="s">
        <v>98</v>
      </c>
      <c r="E32" s="29">
        <v>0.7</v>
      </c>
      <c r="F32" s="23">
        <f t="shared" si="0"/>
        <v>12875.526782559382</v>
      </c>
      <c r="G32" s="24">
        <f t="shared" si="1"/>
        <v>13519.303121687351</v>
      </c>
      <c r="H32" s="25">
        <f t="shared" si="2"/>
        <v>-643.77633912796955</v>
      </c>
      <c r="I32" s="33"/>
    </row>
    <row r="33" spans="2:14" ht="31.5" customHeight="1">
      <c r="B33" s="32" t="s">
        <v>91</v>
      </c>
      <c r="C33" s="20" t="s">
        <v>97</v>
      </c>
      <c r="D33" s="21" t="s">
        <v>98</v>
      </c>
      <c r="E33" s="29">
        <v>4.5</v>
      </c>
      <c r="F33" s="23">
        <f>56640.82+M29</f>
        <v>59394.852987171653</v>
      </c>
      <c r="G33" s="30">
        <v>52350</v>
      </c>
      <c r="H33" s="25">
        <f>F33-G33</f>
        <v>7044.8529871716528</v>
      </c>
      <c r="I33" s="33"/>
      <c r="L33" s="212"/>
    </row>
    <row r="34" spans="2:14">
      <c r="B34" s="32" t="s">
        <v>92</v>
      </c>
      <c r="C34" s="34" t="s">
        <v>99</v>
      </c>
      <c r="D34" s="21" t="s">
        <v>98</v>
      </c>
      <c r="E34" s="29">
        <v>0.62</v>
      </c>
      <c r="F34" s="23">
        <f t="shared" si="0"/>
        <v>11404.038007409739</v>
      </c>
      <c r="G34" s="24">
        <f t="shared" ref="G34:G35" si="3">($N$25+$N$27)/$N$26*E34</f>
        <v>11974.239907780227</v>
      </c>
      <c r="H34" s="150">
        <f>F34-G34</f>
        <v>-570.20190037048815</v>
      </c>
      <c r="I34" s="33"/>
      <c r="J34" s="64"/>
      <c r="K34" s="64"/>
      <c r="L34" s="212"/>
      <c r="M34" s="187"/>
    </row>
    <row r="35" spans="2:14" ht="16.5" thickBot="1">
      <c r="B35" s="62" t="s">
        <v>85</v>
      </c>
      <c r="C35" s="36" t="s">
        <v>100</v>
      </c>
      <c r="D35" s="37" t="s">
        <v>98</v>
      </c>
      <c r="E35" s="38">
        <v>0.69</v>
      </c>
      <c r="F35" s="23">
        <f t="shared" si="0"/>
        <v>12691.590685665677</v>
      </c>
      <c r="G35" s="24">
        <f t="shared" si="3"/>
        <v>13326.170219948961</v>
      </c>
      <c r="H35" s="150">
        <f>F35-G35</f>
        <v>-634.57953428328437</v>
      </c>
      <c r="I35" s="33"/>
    </row>
    <row r="36" spans="2:14" ht="16.5" thickBot="1">
      <c r="B36" s="39" t="s">
        <v>89</v>
      </c>
      <c r="C36" s="40"/>
      <c r="D36" s="40"/>
      <c r="E36" s="41">
        <f>SUM(E26:E35)</f>
        <v>16.369999999999997</v>
      </c>
      <c r="F36" s="42">
        <f>SUM(F26:F35)</f>
        <v>277727</v>
      </c>
      <c r="G36" s="43">
        <f>SUM(G26:G35)</f>
        <v>281598.75436346984</v>
      </c>
      <c r="H36" s="44">
        <f>SUM(H26:H35)</f>
        <v>-3871.7543634697795</v>
      </c>
      <c r="I36" s="65"/>
    </row>
    <row r="37" spans="2:14">
      <c r="B37" s="5"/>
      <c r="C37" s="5"/>
      <c r="D37" s="5"/>
      <c r="E37" s="14"/>
      <c r="F37" s="14"/>
      <c r="G37" s="14"/>
      <c r="H37" s="3"/>
    </row>
    <row r="38" spans="2:14" ht="16.5" customHeight="1" thickBot="1">
      <c r="B38" s="242" t="s">
        <v>181</v>
      </c>
      <c r="C38" s="242"/>
      <c r="D38" s="242"/>
      <c r="E38" s="242"/>
      <c r="F38" s="242"/>
      <c r="G38" s="242"/>
      <c r="H38" s="242"/>
      <c r="I38" s="45"/>
      <c r="J38" s="45"/>
    </row>
    <row r="39" spans="2:14" ht="42" customHeight="1" thickBot="1">
      <c r="B39" s="181" t="s">
        <v>182</v>
      </c>
      <c r="C39" s="228" t="s">
        <v>101</v>
      </c>
      <c r="D39" s="229"/>
      <c r="E39" s="238" t="s">
        <v>9</v>
      </c>
      <c r="F39" s="239"/>
      <c r="G39" s="238" t="s">
        <v>10</v>
      </c>
      <c r="H39" s="245"/>
      <c r="I39" s="158"/>
      <c r="J39" s="159"/>
      <c r="K39" s="46"/>
      <c r="L39" s="217"/>
      <c r="M39" s="187"/>
      <c r="N39" s="187"/>
    </row>
    <row r="40" spans="2:14">
      <c r="B40" s="151" t="s">
        <v>11</v>
      </c>
      <c r="C40" s="230">
        <f>E40+G40</f>
        <v>2384586.8502124045</v>
      </c>
      <c r="D40" s="231"/>
      <c r="E40" s="230">
        <f>F27+F28+F29+F30+F31+F34+F32+F35+E18+F26</f>
        <v>1943706.4772252329</v>
      </c>
      <c r="F40" s="231"/>
      <c r="G40" s="230">
        <f>F33+G18</f>
        <v>440880.37298717169</v>
      </c>
      <c r="H40" s="246"/>
      <c r="I40" s="160"/>
      <c r="J40" s="161"/>
      <c r="K40" s="49"/>
      <c r="L40" s="191"/>
      <c r="M40" s="188"/>
    </row>
    <row r="41" spans="2:14">
      <c r="B41" s="152" t="s">
        <v>12</v>
      </c>
      <c r="C41" s="232">
        <f>E41+G41</f>
        <v>2145531.0578419711</v>
      </c>
      <c r="D41" s="233"/>
      <c r="E41" s="232">
        <f>E19+O27+193698.48</f>
        <v>1747035.8607436204</v>
      </c>
      <c r="F41" s="233"/>
      <c r="G41" s="232">
        <f>G19+O29+53015.56</f>
        <v>398495.19709835068</v>
      </c>
      <c r="H41" s="243"/>
      <c r="I41" s="160"/>
      <c r="J41" s="162"/>
      <c r="K41" s="51"/>
      <c r="L41" s="191"/>
      <c r="M41" s="188"/>
    </row>
    <row r="42" spans="2:14" ht="16.5" thickBot="1">
      <c r="B42" s="153" t="s">
        <v>88</v>
      </c>
      <c r="C42" s="234">
        <f>E42+G42</f>
        <v>2555182.0397634692</v>
      </c>
      <c r="D42" s="235"/>
      <c r="E42" s="234">
        <f>G27+G28+G29+G30+G31+G32+G34+G35+E20+G26</f>
        <v>1976341.0397634695</v>
      </c>
      <c r="F42" s="235"/>
      <c r="G42" s="234">
        <f>G33+G20</f>
        <v>578841</v>
      </c>
      <c r="H42" s="244"/>
      <c r="I42" s="160"/>
      <c r="J42" s="48"/>
      <c r="K42" s="33"/>
      <c r="L42" s="219"/>
    </row>
    <row r="43" spans="2:14" ht="27" customHeight="1" thickBot="1">
      <c r="B43" s="154" t="s">
        <v>147</v>
      </c>
      <c r="C43" s="236">
        <f>E43+G43</f>
        <v>-409650.98192149837</v>
      </c>
      <c r="D43" s="237"/>
      <c r="E43" s="247">
        <f>E41-E42</f>
        <v>-229305.17901984905</v>
      </c>
      <c r="F43" s="248"/>
      <c r="G43" s="247">
        <f>G41-G42</f>
        <v>-180345.80290164932</v>
      </c>
      <c r="H43" s="249"/>
      <c r="I43" s="163"/>
      <c r="J43" s="148"/>
      <c r="K43" s="33"/>
      <c r="L43" s="219"/>
    </row>
    <row r="44" spans="2:14" ht="15" customHeight="1">
      <c r="B44" s="76"/>
      <c r="C44" s="146"/>
      <c r="D44" s="146"/>
      <c r="E44" s="148"/>
      <c r="F44" s="148"/>
      <c r="G44" s="148"/>
      <c r="H44" s="148"/>
      <c r="I44" s="52"/>
      <c r="J44" s="2"/>
      <c r="K44" s="2"/>
      <c r="L44" s="186"/>
      <c r="M44" s="186"/>
      <c r="N44" s="186"/>
    </row>
    <row r="45" spans="2:14" ht="16.5" customHeight="1">
      <c r="B45" s="52" t="s">
        <v>77</v>
      </c>
      <c r="C45" s="225" t="s">
        <v>150</v>
      </c>
      <c r="D45" s="225"/>
      <c r="E45" s="225"/>
      <c r="F45" s="251" t="s">
        <v>174</v>
      </c>
      <c r="G45" s="251"/>
      <c r="H45" s="52"/>
      <c r="I45" s="52"/>
      <c r="J45" s="2"/>
      <c r="K45" s="2"/>
      <c r="L45" s="186"/>
      <c r="M45" s="186"/>
      <c r="N45" s="186"/>
    </row>
    <row r="46" spans="2:14" ht="9.75" customHeight="1">
      <c r="B46" s="52"/>
      <c r="C46" s="53"/>
      <c r="D46" s="53"/>
      <c r="E46" s="211"/>
      <c r="F46" s="252"/>
      <c r="G46" s="252"/>
      <c r="H46" s="52"/>
      <c r="I46" s="52"/>
      <c r="J46" s="2"/>
      <c r="K46" s="2"/>
      <c r="L46" s="186"/>
      <c r="M46" s="186"/>
      <c r="N46" s="186"/>
    </row>
    <row r="47" spans="2:14" ht="15" customHeight="1">
      <c r="B47" s="52" t="s">
        <v>78</v>
      </c>
      <c r="C47" s="225" t="s">
        <v>150</v>
      </c>
      <c r="D47" s="225"/>
      <c r="E47" s="225"/>
      <c r="F47" s="251" t="s">
        <v>93</v>
      </c>
      <c r="G47" s="251"/>
      <c r="H47" s="52"/>
      <c r="I47" s="52"/>
    </row>
    <row r="48" spans="2:14" ht="8.25" customHeight="1">
      <c r="B48" s="52"/>
      <c r="C48" s="53"/>
      <c r="D48" s="53"/>
      <c r="E48" s="211"/>
      <c r="F48" s="251"/>
      <c r="G48" s="251"/>
      <c r="H48" s="52"/>
      <c r="I48" s="52"/>
    </row>
    <row r="49" spans="2:9" ht="15.75" customHeight="1">
      <c r="B49" s="52" t="s">
        <v>79</v>
      </c>
      <c r="C49" s="225" t="s">
        <v>151</v>
      </c>
      <c r="D49" s="225"/>
      <c r="E49" s="225"/>
      <c r="F49" s="251" t="s">
        <v>175</v>
      </c>
      <c r="G49" s="251"/>
      <c r="H49" s="52"/>
      <c r="I49" s="54"/>
    </row>
    <row r="50" spans="2:9" ht="9" customHeight="1">
      <c r="B50" s="54"/>
      <c r="C50" s="55"/>
      <c r="D50" s="55"/>
      <c r="E50" s="211"/>
      <c r="F50" s="197"/>
      <c r="G50" s="54"/>
      <c r="H50" s="56"/>
      <c r="I50" s="8"/>
    </row>
    <row r="51" spans="2:9" ht="17.25" customHeight="1">
      <c r="B51" s="52" t="s">
        <v>80</v>
      </c>
      <c r="C51" s="225" t="s">
        <v>151</v>
      </c>
      <c r="D51" s="225"/>
      <c r="E51" s="225"/>
      <c r="F51" s="251" t="s">
        <v>175</v>
      </c>
      <c r="G51" s="251"/>
      <c r="H51" s="52"/>
      <c r="I51" s="8"/>
    </row>
  </sheetData>
  <mergeCells count="57">
    <mergeCell ref="F51:G51"/>
    <mergeCell ref="F45:G45"/>
    <mergeCell ref="F48:G48"/>
    <mergeCell ref="C49:E49"/>
    <mergeCell ref="F49:G49"/>
    <mergeCell ref="C51:E51"/>
    <mergeCell ref="F46:G46"/>
    <mergeCell ref="F47:G47"/>
    <mergeCell ref="B1:H1"/>
    <mergeCell ref="E43:F43"/>
    <mergeCell ref="G39:H39"/>
    <mergeCell ref="D8:E8"/>
    <mergeCell ref="B23:H23"/>
    <mergeCell ref="B24:B25"/>
    <mergeCell ref="C24:C25"/>
    <mergeCell ref="E40:F40"/>
    <mergeCell ref="G43:H43"/>
    <mergeCell ref="F24:G24"/>
    <mergeCell ref="E41:F41"/>
    <mergeCell ref="G41:H41"/>
    <mergeCell ref="B38:H38"/>
    <mergeCell ref="H24:H25"/>
    <mergeCell ref="G40:H40"/>
    <mergeCell ref="D24:D25"/>
    <mergeCell ref="C39:D39"/>
    <mergeCell ref="C40:D40"/>
    <mergeCell ref="G42:H42"/>
    <mergeCell ref="B2:H2"/>
    <mergeCell ref="B3:H3"/>
    <mergeCell ref="B4:H4"/>
    <mergeCell ref="E42:F42"/>
    <mergeCell ref="B5:H6"/>
    <mergeCell ref="E39:F39"/>
    <mergeCell ref="B16:H16"/>
    <mergeCell ref="C17:D17"/>
    <mergeCell ref="E17:F17"/>
    <mergeCell ref="G17:H17"/>
    <mergeCell ref="C18:D18"/>
    <mergeCell ref="E18:F18"/>
    <mergeCell ref="G18:H18"/>
    <mergeCell ref="C19:D19"/>
    <mergeCell ref="E19:F19"/>
    <mergeCell ref="G19:H19"/>
    <mergeCell ref="C20:D20"/>
    <mergeCell ref="E20:F20"/>
    <mergeCell ref="G20:H20"/>
    <mergeCell ref="C21:D21"/>
    <mergeCell ref="E21:F21"/>
    <mergeCell ref="G21:H21"/>
    <mergeCell ref="M23:M24"/>
    <mergeCell ref="N23:N24"/>
    <mergeCell ref="E24:E25"/>
    <mergeCell ref="C41:D41"/>
    <mergeCell ref="C42:D42"/>
    <mergeCell ref="C43:D43"/>
    <mergeCell ref="C45:E45"/>
    <mergeCell ref="C47:E47"/>
  </mergeCells>
  <printOptions horizontalCentered="1"/>
  <pageMargins left="0.19685039370078741" right="0.19685039370078741" top="0.15748031496062992" bottom="0.23622047244094491" header="0.16" footer="0.25"/>
  <pageSetup paperSize="9" scale="45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>
  <sheetPr codeName="Лист17">
    <tabColor rgb="FF0070C0"/>
    <pageSetUpPr fitToPage="1"/>
  </sheetPr>
  <dimension ref="B1:Q92"/>
  <sheetViews>
    <sheetView zoomScale="110" zoomScaleNormal="110" workbookViewId="0">
      <selection activeCell="D24" sqref="D24:D25"/>
    </sheetView>
  </sheetViews>
  <sheetFormatPr defaultColWidth="9.140625" defaultRowHeight="15.75" outlineLevelRow="1"/>
  <cols>
    <col min="1" max="1" width="2.85546875" style="1" customWidth="1"/>
    <col min="2" max="2" width="56.85546875" style="1" customWidth="1"/>
    <col min="3" max="3" width="14.5703125" style="128" customWidth="1"/>
    <col min="4" max="4" width="10" style="3" customWidth="1"/>
    <col min="5" max="5" width="9.7109375" style="3" customWidth="1"/>
    <col min="6" max="6" width="10.140625" style="1" customWidth="1"/>
    <col min="7" max="7" width="10.28515625" style="1" customWidth="1"/>
    <col min="8" max="8" width="10.7109375" style="1" customWidth="1"/>
    <col min="9" max="9" width="17.5703125" style="1" customWidth="1"/>
    <col min="10" max="10" width="17.28515625" style="1" customWidth="1"/>
    <col min="11" max="12" width="9.140625" style="182"/>
    <col min="13" max="14" width="18" style="182" customWidth="1"/>
    <col min="15" max="17" width="9.140625" style="182"/>
    <col min="18" max="16384" width="9.140625" style="1"/>
  </cols>
  <sheetData>
    <row r="1" spans="2:9">
      <c r="B1" s="255" t="s">
        <v>119</v>
      </c>
      <c r="C1" s="255"/>
      <c r="D1" s="255"/>
      <c r="E1" s="255"/>
      <c r="F1" s="255"/>
      <c r="G1" s="255"/>
      <c r="H1" s="255"/>
    </row>
    <row r="2" spans="2:9">
      <c r="B2" s="255" t="s">
        <v>120</v>
      </c>
      <c r="C2" s="255"/>
      <c r="D2" s="255"/>
      <c r="E2" s="255"/>
      <c r="F2" s="255"/>
      <c r="G2" s="255"/>
      <c r="H2" s="255"/>
    </row>
    <row r="3" spans="2:9">
      <c r="B3" s="255" t="s">
        <v>167</v>
      </c>
      <c r="C3" s="255"/>
      <c r="D3" s="255"/>
      <c r="E3" s="255"/>
      <c r="F3" s="255"/>
      <c r="G3" s="255"/>
      <c r="H3" s="255"/>
    </row>
    <row r="4" spans="2:9">
      <c r="B4" s="255" t="s">
        <v>183</v>
      </c>
      <c r="C4" s="255"/>
      <c r="D4" s="255"/>
      <c r="E4" s="255"/>
      <c r="F4" s="255"/>
      <c r="G4" s="255"/>
      <c r="H4" s="255"/>
    </row>
    <row r="5" spans="2:9" ht="19.5" customHeight="1">
      <c r="B5" s="256" t="s">
        <v>177</v>
      </c>
      <c r="C5" s="256"/>
      <c r="D5" s="256"/>
      <c r="E5" s="256"/>
      <c r="F5" s="256"/>
      <c r="G5" s="256"/>
      <c r="H5" s="256"/>
    </row>
    <row r="6" spans="2:9" ht="19.5" customHeight="1">
      <c r="B6" s="256"/>
      <c r="C6" s="256"/>
      <c r="D6" s="256"/>
      <c r="E6" s="256"/>
      <c r="F6" s="256"/>
      <c r="G6" s="256"/>
      <c r="H6" s="256"/>
    </row>
    <row r="7" spans="2:9" ht="8.25" customHeight="1"/>
    <row r="8" spans="2:9">
      <c r="B8" s="164" t="s">
        <v>0</v>
      </c>
      <c r="C8" s="175"/>
      <c r="D8" s="263" t="s">
        <v>61</v>
      </c>
      <c r="E8" s="263"/>
    </row>
    <row r="9" spans="2:9">
      <c r="B9" s="164" t="s">
        <v>1</v>
      </c>
      <c r="C9" s="175"/>
      <c r="D9" s="203">
        <v>1970</v>
      </c>
      <c r="E9" s="203"/>
    </row>
    <row r="10" spans="2:9" hidden="1" outlineLevel="1">
      <c r="B10" s="164" t="s">
        <v>2</v>
      </c>
      <c r="C10" s="175"/>
      <c r="D10" s="203">
        <v>4</v>
      </c>
      <c r="E10" s="203"/>
    </row>
    <row r="11" spans="2:9" hidden="1" outlineLevel="1">
      <c r="B11" s="164" t="s">
        <v>3</v>
      </c>
      <c r="C11" s="175"/>
      <c r="D11" s="203">
        <v>31</v>
      </c>
      <c r="E11" s="203"/>
    </row>
    <row r="12" spans="2:9" ht="30.75" hidden="1" customHeight="1" outlineLevel="1">
      <c r="B12" s="166" t="s">
        <v>4</v>
      </c>
      <c r="C12" s="176"/>
      <c r="D12" s="203" t="s">
        <v>62</v>
      </c>
      <c r="E12" s="203"/>
    </row>
    <row r="13" spans="2:9" collapsed="1">
      <c r="B13" s="164" t="s">
        <v>5</v>
      </c>
      <c r="C13" s="175"/>
      <c r="D13" s="203" t="s">
        <v>127</v>
      </c>
      <c r="E13" s="203"/>
      <c r="I13" s="5"/>
    </row>
    <row r="14" spans="2:9">
      <c r="B14" s="164" t="s">
        <v>6</v>
      </c>
      <c r="C14" s="175"/>
      <c r="D14" s="203" t="s">
        <v>135</v>
      </c>
      <c r="E14" s="203"/>
    </row>
    <row r="15" spans="2:9" ht="30.75" hidden="1" customHeight="1" outlineLevel="1">
      <c r="B15" s="15" t="s">
        <v>8</v>
      </c>
      <c r="C15" s="129"/>
      <c r="D15" s="204" t="s">
        <v>63</v>
      </c>
      <c r="E15" s="157"/>
      <c r="I15" s="5"/>
    </row>
    <row r="16" spans="2:9" ht="16.5" collapsed="1" thickBot="1">
      <c r="B16" s="242" t="s">
        <v>176</v>
      </c>
      <c r="C16" s="242"/>
      <c r="D16" s="242"/>
      <c r="E16" s="242"/>
      <c r="F16" s="242"/>
      <c r="G16" s="242"/>
      <c r="H16" s="242"/>
      <c r="I16" s="5"/>
    </row>
    <row r="17" spans="2:15" ht="43.5" customHeight="1" thickBot="1">
      <c r="B17" s="181" t="s">
        <v>178</v>
      </c>
      <c r="C17" s="228" t="s">
        <v>101</v>
      </c>
      <c r="D17" s="229"/>
      <c r="E17" s="238" t="s">
        <v>9</v>
      </c>
      <c r="F17" s="239"/>
      <c r="G17" s="238" t="s">
        <v>10</v>
      </c>
      <c r="H17" s="245"/>
      <c r="I17" s="5"/>
    </row>
    <row r="18" spans="2:15">
      <c r="B18" s="151" t="s">
        <v>11</v>
      </c>
      <c r="C18" s="268">
        <v>2846989.0845152549</v>
      </c>
      <c r="D18" s="269"/>
      <c r="E18" s="230">
        <v>1902810.6230372887</v>
      </c>
      <c r="F18" s="231"/>
      <c r="G18" s="230">
        <v>944178.46147796605</v>
      </c>
      <c r="H18" s="246"/>
      <c r="I18" s="5"/>
    </row>
    <row r="19" spans="2:15">
      <c r="B19" s="152" t="s">
        <v>12</v>
      </c>
      <c r="C19" s="232">
        <v>2545262.5600000005</v>
      </c>
      <c r="D19" s="270"/>
      <c r="E19" s="232">
        <v>1703535.7500000002</v>
      </c>
      <c r="F19" s="233"/>
      <c r="G19" s="232">
        <v>841726.81000000017</v>
      </c>
      <c r="H19" s="243"/>
      <c r="I19" s="5"/>
    </row>
    <row r="20" spans="2:15" ht="16.5" thickBot="1">
      <c r="B20" s="153" t="s">
        <v>88</v>
      </c>
      <c r="C20" s="271">
        <v>2676125.1875000005</v>
      </c>
      <c r="D20" s="272"/>
      <c r="E20" s="234">
        <v>1908545.3875000004</v>
      </c>
      <c r="F20" s="235"/>
      <c r="G20" s="234">
        <v>767579.8</v>
      </c>
      <c r="H20" s="244"/>
      <c r="I20" s="5"/>
    </row>
    <row r="21" spans="2:15" ht="25.5" customHeight="1" thickBot="1">
      <c r="B21" s="154" t="s">
        <v>146</v>
      </c>
      <c r="C21" s="236">
        <f>E21+G21</f>
        <v>-130862.62750000006</v>
      </c>
      <c r="D21" s="237"/>
      <c r="E21" s="247">
        <f>E19-E20</f>
        <v>-205009.63750000019</v>
      </c>
      <c r="F21" s="248"/>
      <c r="G21" s="247">
        <f>G19-G20</f>
        <v>74147.010000000126</v>
      </c>
      <c r="H21" s="249"/>
      <c r="I21" s="5"/>
    </row>
    <row r="22" spans="2:15">
      <c r="B22" s="155"/>
      <c r="C22" s="156"/>
      <c r="D22" s="156"/>
      <c r="E22" s="147"/>
      <c r="F22" s="147"/>
      <c r="G22" s="147"/>
      <c r="H22" s="147"/>
      <c r="I22" s="5"/>
    </row>
    <row r="23" spans="2:15" ht="33" customHeight="1" thickBot="1">
      <c r="B23" s="265" t="s">
        <v>179</v>
      </c>
      <c r="C23" s="265"/>
      <c r="D23" s="265"/>
      <c r="E23" s="265"/>
      <c r="F23" s="265"/>
      <c r="G23" s="265"/>
      <c r="H23" s="265"/>
      <c r="L23" s="212"/>
      <c r="M23" s="226" t="s">
        <v>148</v>
      </c>
      <c r="N23" s="226" t="s">
        <v>149</v>
      </c>
    </row>
    <row r="24" spans="2:15" ht="33.75" customHeight="1">
      <c r="B24" s="261" t="s">
        <v>94</v>
      </c>
      <c r="C24" s="259" t="s">
        <v>95</v>
      </c>
      <c r="D24" s="259" t="s">
        <v>116</v>
      </c>
      <c r="E24" s="266" t="s">
        <v>180</v>
      </c>
      <c r="F24" s="240" t="s">
        <v>96</v>
      </c>
      <c r="G24" s="241"/>
      <c r="H24" s="257" t="s">
        <v>122</v>
      </c>
      <c r="L24" s="212"/>
      <c r="M24" s="227"/>
      <c r="N24" s="227"/>
    </row>
    <row r="25" spans="2:15" ht="48" customHeight="1" thickBot="1">
      <c r="B25" s="262"/>
      <c r="C25" s="260"/>
      <c r="D25" s="260"/>
      <c r="E25" s="267"/>
      <c r="F25" s="17" t="s">
        <v>81</v>
      </c>
      <c r="G25" s="18" t="s">
        <v>82</v>
      </c>
      <c r="H25" s="258"/>
      <c r="M25" s="185">
        <v>187494.6</v>
      </c>
      <c r="N25" s="185">
        <f>M25*1.05</f>
        <v>196869.33000000002</v>
      </c>
    </row>
    <row r="26" spans="2:15" ht="39" customHeight="1">
      <c r="B26" s="19" t="s">
        <v>86</v>
      </c>
      <c r="C26" s="20" t="s">
        <v>97</v>
      </c>
      <c r="D26" s="21" t="s">
        <v>98</v>
      </c>
      <c r="E26" s="22">
        <v>1.06</v>
      </c>
      <c r="F26" s="23">
        <f>($M$25+$M$27)/$M$26*E26</f>
        <v>19325.503213610591</v>
      </c>
      <c r="G26" s="24">
        <f>($N$25+$N$27)/$N$26*E26</f>
        <v>20291.778374291123</v>
      </c>
      <c r="H26" s="25">
        <f>F26-G26</f>
        <v>-966.27516068053228</v>
      </c>
      <c r="I26" s="26"/>
      <c r="J26" s="199"/>
      <c r="K26" s="213"/>
      <c r="L26" s="214"/>
      <c r="M26" s="185">
        <f>E35-E33</f>
        <v>10.579999999999998</v>
      </c>
      <c r="N26" s="185">
        <f>E35-E33</f>
        <v>10.579999999999998</v>
      </c>
      <c r="O26" s="185">
        <f>E35-E33</f>
        <v>10.579999999999998</v>
      </c>
    </row>
    <row r="27" spans="2:15" ht="51">
      <c r="B27" s="28" t="s">
        <v>90</v>
      </c>
      <c r="C27" s="20" t="s">
        <v>97</v>
      </c>
      <c r="D27" s="21" t="s">
        <v>98</v>
      </c>
      <c r="E27" s="29">
        <v>1.19</v>
      </c>
      <c r="F27" s="23">
        <f t="shared" ref="F27:F34" si="0">($M$25+$M$27)/$M$26*E27</f>
        <v>21695.612098298679</v>
      </c>
      <c r="G27" s="24">
        <f t="shared" ref="G27:G32" si="1">($N$25+$N$27)/$N$26*E27</f>
        <v>22780.392703213616</v>
      </c>
      <c r="H27" s="25">
        <f t="shared" ref="H27:H32" si="2">F27-G27</f>
        <v>-1084.7806049149367</v>
      </c>
      <c r="I27" s="31"/>
      <c r="J27" s="2"/>
      <c r="K27" s="186"/>
      <c r="L27" s="189" t="s">
        <v>133</v>
      </c>
      <c r="M27" s="188">
        <f>M28/E35*M26</f>
        <v>5395.8</v>
      </c>
      <c r="N27" s="188">
        <f>N28/E35*N26</f>
        <v>5665.59</v>
      </c>
      <c r="O27" s="188">
        <f>O28/E35*O26</f>
        <v>7644.0499999999984</v>
      </c>
    </row>
    <row r="28" spans="2:15" ht="15.75" customHeight="1">
      <c r="B28" s="32" t="s">
        <v>83</v>
      </c>
      <c r="C28" s="20" t="s">
        <v>97</v>
      </c>
      <c r="D28" s="21" t="s">
        <v>98</v>
      </c>
      <c r="E28" s="29">
        <v>0.32</v>
      </c>
      <c r="F28" s="23">
        <f t="shared" si="0"/>
        <v>5834.1141776937629</v>
      </c>
      <c r="G28" s="24">
        <f t="shared" si="1"/>
        <v>6125.8198865784516</v>
      </c>
      <c r="H28" s="25">
        <f t="shared" si="2"/>
        <v>-291.70570888468865</v>
      </c>
      <c r="I28" s="33"/>
      <c r="L28" s="189" t="s">
        <v>131</v>
      </c>
      <c r="M28" s="189">
        <f>7739.25+859.35</f>
        <v>8598.6</v>
      </c>
      <c r="N28" s="189">
        <f>M28*1.05</f>
        <v>9028.5300000000007</v>
      </c>
      <c r="O28" s="189">
        <f>9316.85+2864.5</f>
        <v>12181.35</v>
      </c>
    </row>
    <row r="29" spans="2:15" ht="30" customHeight="1">
      <c r="B29" s="32" t="s">
        <v>84</v>
      </c>
      <c r="C29" s="34" t="s">
        <v>99</v>
      </c>
      <c r="D29" s="21" t="s">
        <v>98</v>
      </c>
      <c r="E29" s="29">
        <v>0.23</v>
      </c>
      <c r="F29" s="23">
        <f t="shared" si="0"/>
        <v>4193.2695652173925</v>
      </c>
      <c r="G29" s="24">
        <f t="shared" si="1"/>
        <v>4402.9330434782623</v>
      </c>
      <c r="H29" s="25">
        <f t="shared" si="2"/>
        <v>-209.66347826086985</v>
      </c>
      <c r="I29" s="33"/>
      <c r="L29" s="188" t="s">
        <v>134</v>
      </c>
      <c r="M29" s="188">
        <f>M28/E35*E33</f>
        <v>3202.8000000000006</v>
      </c>
      <c r="N29" s="188"/>
      <c r="O29" s="188">
        <f>O28/E35*E33</f>
        <v>4537.3</v>
      </c>
    </row>
    <row r="30" spans="2:15" ht="51">
      <c r="B30" s="28" t="s">
        <v>87</v>
      </c>
      <c r="C30" s="20" t="s">
        <v>137</v>
      </c>
      <c r="D30" s="21" t="s">
        <v>98</v>
      </c>
      <c r="E30" s="29">
        <v>1.18</v>
      </c>
      <c r="F30" s="23">
        <f t="shared" si="0"/>
        <v>21513.29603024575</v>
      </c>
      <c r="G30" s="24">
        <f t="shared" si="1"/>
        <v>22588.960831758039</v>
      </c>
      <c r="H30" s="25">
        <f t="shared" si="2"/>
        <v>-1075.6648015122882</v>
      </c>
      <c r="I30" s="33"/>
    </row>
    <row r="31" spans="2:15" ht="216" customHeight="1">
      <c r="B31" s="28" t="s">
        <v>121</v>
      </c>
      <c r="C31" s="20" t="s">
        <v>100</v>
      </c>
      <c r="D31" s="21" t="s">
        <v>98</v>
      </c>
      <c r="E31" s="29">
        <v>5.61</v>
      </c>
      <c r="F31" s="23">
        <f t="shared" si="0"/>
        <v>102279.31417769378</v>
      </c>
      <c r="G31" s="24">
        <f t="shared" si="1"/>
        <v>107393.27988657849</v>
      </c>
      <c r="H31" s="25">
        <f t="shared" si="2"/>
        <v>-5113.9657088847016</v>
      </c>
      <c r="I31" s="31"/>
      <c r="J31" s="2"/>
      <c r="K31" s="186"/>
      <c r="L31" s="215"/>
      <c r="M31" s="186"/>
      <c r="N31" s="186"/>
    </row>
    <row r="32" spans="2:15" ht="111.75" customHeight="1">
      <c r="B32" s="28" t="s">
        <v>102</v>
      </c>
      <c r="C32" s="20" t="s">
        <v>97</v>
      </c>
      <c r="D32" s="21" t="s">
        <v>98</v>
      </c>
      <c r="E32" s="29">
        <v>0.24</v>
      </c>
      <c r="F32" s="23">
        <f t="shared" si="0"/>
        <v>4375.5856332703224</v>
      </c>
      <c r="G32" s="24">
        <f t="shared" si="1"/>
        <v>4594.3649149338389</v>
      </c>
      <c r="H32" s="25">
        <f t="shared" si="2"/>
        <v>-218.77928166351649</v>
      </c>
      <c r="I32" s="33"/>
    </row>
    <row r="33" spans="2:14" ht="27" customHeight="1">
      <c r="B33" s="32" t="s">
        <v>91</v>
      </c>
      <c r="C33" s="20" t="s">
        <v>97</v>
      </c>
      <c r="D33" s="21" t="s">
        <v>98</v>
      </c>
      <c r="E33" s="29">
        <v>6.28</v>
      </c>
      <c r="F33" s="23">
        <f>111291.69+M29</f>
        <v>114494.49</v>
      </c>
      <c r="G33" s="30">
        <v>211227</v>
      </c>
      <c r="H33" s="25">
        <f>F33-G33</f>
        <v>-96732.51</v>
      </c>
      <c r="I33" s="33"/>
      <c r="L33" s="212"/>
    </row>
    <row r="34" spans="2:14" ht="16.5" thickBot="1">
      <c r="B34" s="62" t="s">
        <v>85</v>
      </c>
      <c r="C34" s="36" t="s">
        <v>100</v>
      </c>
      <c r="D34" s="37" t="s">
        <v>98</v>
      </c>
      <c r="E34" s="38">
        <v>0.75</v>
      </c>
      <c r="F34" s="23">
        <f t="shared" si="0"/>
        <v>13673.705103969758</v>
      </c>
      <c r="G34" s="24">
        <f t="shared" ref="G34" si="3">($N$25+$N$27)/$N$26*E34</f>
        <v>14357.390359168247</v>
      </c>
      <c r="H34" s="25">
        <f>F34-G34</f>
        <v>-683.68525519848845</v>
      </c>
      <c r="I34" s="33"/>
    </row>
    <row r="35" spans="2:14" ht="16.5" thickBot="1">
      <c r="B35" s="39" t="s">
        <v>89</v>
      </c>
      <c r="C35" s="40"/>
      <c r="D35" s="40"/>
      <c r="E35" s="41">
        <f>SUM(E26:E34)</f>
        <v>16.86</v>
      </c>
      <c r="F35" s="42">
        <f>SUM(F26:F34)</f>
        <v>307384.89000000007</v>
      </c>
      <c r="G35" s="43">
        <f>SUM(G26:G34)</f>
        <v>413761.92000000004</v>
      </c>
      <c r="H35" s="44">
        <f>SUM(H26:H34)</f>
        <v>-106377.03000000001</v>
      </c>
      <c r="I35" s="65"/>
    </row>
    <row r="36" spans="2:14">
      <c r="B36" s="5"/>
      <c r="C36" s="5"/>
      <c r="D36" s="5"/>
      <c r="E36" s="14"/>
      <c r="F36" s="14"/>
      <c r="G36" s="14"/>
      <c r="H36" s="3"/>
    </row>
    <row r="37" spans="2:14" ht="16.5" customHeight="1" thickBot="1">
      <c r="B37" s="242" t="s">
        <v>181</v>
      </c>
      <c r="C37" s="242"/>
      <c r="D37" s="242"/>
      <c r="E37" s="242"/>
      <c r="F37" s="242"/>
      <c r="G37" s="242"/>
      <c r="H37" s="242"/>
      <c r="I37" s="45"/>
      <c r="J37" s="45"/>
    </row>
    <row r="38" spans="2:14" ht="44.25" customHeight="1" thickBot="1">
      <c r="B38" s="181" t="s">
        <v>182</v>
      </c>
      <c r="C38" s="228" t="s">
        <v>101</v>
      </c>
      <c r="D38" s="229"/>
      <c r="E38" s="238" t="s">
        <v>9</v>
      </c>
      <c r="F38" s="239"/>
      <c r="G38" s="238" t="s">
        <v>10</v>
      </c>
      <c r="H38" s="245"/>
      <c r="I38" s="170"/>
      <c r="J38" s="159"/>
      <c r="K38" s="216"/>
      <c r="L38" s="217"/>
      <c r="M38" s="187"/>
      <c r="N38" s="187"/>
    </row>
    <row r="39" spans="2:14">
      <c r="B39" s="151" t="s">
        <v>11</v>
      </c>
      <c r="C39" s="230">
        <f>E39+G39</f>
        <v>3154373.9745152546</v>
      </c>
      <c r="D39" s="231"/>
      <c r="E39" s="230">
        <f>F26+F27+F28+F29+F30+F31+F32+F34+E18</f>
        <v>2095701.0230372888</v>
      </c>
      <c r="F39" s="231"/>
      <c r="G39" s="230">
        <f>F33+G18</f>
        <v>1058672.951477966</v>
      </c>
      <c r="H39" s="246"/>
      <c r="I39" s="160"/>
      <c r="J39" s="161"/>
      <c r="K39" s="191"/>
      <c r="L39" s="191"/>
      <c r="M39" s="188"/>
    </row>
    <row r="40" spans="2:14">
      <c r="B40" s="152" t="s">
        <v>12</v>
      </c>
      <c r="C40" s="232">
        <f>E40+G40</f>
        <v>2872578.9000000004</v>
      </c>
      <c r="D40" s="233"/>
      <c r="E40" s="232">
        <f>E19+O27+197753.75</f>
        <v>1908933.5500000003</v>
      </c>
      <c r="F40" s="233"/>
      <c r="G40" s="232">
        <f>G19+O29+117381.24</f>
        <v>963645.35000000021</v>
      </c>
      <c r="H40" s="243"/>
      <c r="I40" s="160"/>
      <c r="J40" s="162"/>
      <c r="K40" s="218"/>
      <c r="L40" s="191"/>
      <c r="M40" s="188"/>
    </row>
    <row r="41" spans="2:14" ht="16.5" thickBot="1">
      <c r="B41" s="153" t="s">
        <v>88</v>
      </c>
      <c r="C41" s="234">
        <f>E41+G41</f>
        <v>3089887.1075000009</v>
      </c>
      <c r="D41" s="235"/>
      <c r="E41" s="234">
        <f>G26+G27+G28+G29+G30+G31+G32+G34+E20</f>
        <v>2111080.3075000006</v>
      </c>
      <c r="F41" s="235"/>
      <c r="G41" s="234">
        <f>G33+G20</f>
        <v>978806.8</v>
      </c>
      <c r="H41" s="244"/>
      <c r="I41" s="160"/>
      <c r="J41" s="48"/>
      <c r="K41" s="219"/>
      <c r="L41" s="219"/>
    </row>
    <row r="42" spans="2:14" ht="28.5" customHeight="1" thickBot="1">
      <c r="B42" s="154" t="s">
        <v>147</v>
      </c>
      <c r="C42" s="236">
        <f>E42+G42</f>
        <v>-217308.20750000014</v>
      </c>
      <c r="D42" s="237"/>
      <c r="E42" s="247">
        <f>E40-E41</f>
        <v>-202146.7575000003</v>
      </c>
      <c r="F42" s="248"/>
      <c r="G42" s="247">
        <f>G40-G41</f>
        <v>-15161.449999999837</v>
      </c>
      <c r="H42" s="249"/>
      <c r="I42" s="163"/>
      <c r="J42" s="148"/>
      <c r="K42" s="219"/>
      <c r="L42" s="219"/>
    </row>
    <row r="43" spans="2:14" ht="13.5" customHeight="1">
      <c r="B43" s="76"/>
      <c r="C43" s="146"/>
      <c r="D43" s="146"/>
      <c r="E43" s="148"/>
      <c r="F43" s="148"/>
      <c r="G43" s="148"/>
      <c r="H43" s="148"/>
      <c r="I43" s="171"/>
      <c r="J43" s="31"/>
      <c r="K43" s="186"/>
      <c r="L43" s="186"/>
      <c r="M43" s="186"/>
      <c r="N43" s="186"/>
    </row>
    <row r="44" spans="2:14" ht="15.75" customHeight="1">
      <c r="B44" s="52" t="s">
        <v>77</v>
      </c>
      <c r="C44" s="225" t="s">
        <v>150</v>
      </c>
      <c r="D44" s="225"/>
      <c r="E44" s="225"/>
      <c r="F44" s="251" t="s">
        <v>174</v>
      </c>
      <c r="G44" s="251"/>
      <c r="H44" s="52"/>
      <c r="I44" s="171"/>
      <c r="J44" s="31"/>
      <c r="K44" s="186"/>
      <c r="L44" s="186"/>
      <c r="M44" s="186"/>
      <c r="N44" s="186"/>
    </row>
    <row r="45" spans="2:14" ht="9" customHeight="1">
      <c r="B45" s="52"/>
      <c r="C45" s="53"/>
      <c r="D45" s="53"/>
      <c r="E45" s="211"/>
      <c r="F45" s="252"/>
      <c r="G45" s="252"/>
      <c r="H45" s="52"/>
      <c r="I45" s="52"/>
      <c r="J45" s="2"/>
      <c r="K45" s="186"/>
      <c r="L45" s="186"/>
      <c r="M45" s="186"/>
      <c r="N45" s="186"/>
    </row>
    <row r="46" spans="2:14" ht="14.25" customHeight="1">
      <c r="B46" s="52" t="s">
        <v>78</v>
      </c>
      <c r="C46" s="225" t="s">
        <v>150</v>
      </c>
      <c r="D46" s="225"/>
      <c r="E46" s="225"/>
      <c r="F46" s="251" t="s">
        <v>93</v>
      </c>
      <c r="G46" s="251"/>
      <c r="H46" s="52"/>
      <c r="I46" s="52"/>
    </row>
    <row r="47" spans="2:14" ht="9" customHeight="1">
      <c r="B47" s="52"/>
      <c r="C47" s="53"/>
      <c r="D47" s="53"/>
      <c r="E47" s="211"/>
      <c r="F47" s="251"/>
      <c r="G47" s="251"/>
      <c r="H47" s="52"/>
      <c r="I47" s="52"/>
    </row>
    <row r="48" spans="2:14" ht="14.25" customHeight="1">
      <c r="B48" s="52" t="s">
        <v>79</v>
      </c>
      <c r="C48" s="225" t="s">
        <v>151</v>
      </c>
      <c r="D48" s="225"/>
      <c r="E48" s="225"/>
      <c r="F48" s="251" t="s">
        <v>175</v>
      </c>
      <c r="G48" s="251"/>
      <c r="H48" s="52"/>
      <c r="I48" s="6"/>
    </row>
    <row r="49" spans="2:8" ht="10.5" customHeight="1">
      <c r="B49" s="54"/>
      <c r="C49" s="55"/>
      <c r="D49" s="55"/>
      <c r="E49" s="211"/>
      <c r="F49" s="197"/>
      <c r="G49" s="54"/>
      <c r="H49" s="56"/>
    </row>
    <row r="50" spans="2:8" ht="16.5" customHeight="1">
      <c r="B50" s="52" t="s">
        <v>80</v>
      </c>
      <c r="C50" s="225" t="s">
        <v>151</v>
      </c>
      <c r="D50" s="225"/>
      <c r="E50" s="225"/>
      <c r="F50" s="251" t="s">
        <v>175</v>
      </c>
      <c r="G50" s="251"/>
      <c r="H50" s="52"/>
    </row>
    <row r="51" spans="2:8">
      <c r="C51" s="14"/>
    </row>
    <row r="52" spans="2:8">
      <c r="C52" s="14"/>
    </row>
    <row r="53" spans="2:8">
      <c r="C53" s="14"/>
    </row>
    <row r="54" spans="2:8">
      <c r="C54" s="14"/>
    </row>
    <row r="55" spans="2:8">
      <c r="C55" s="14"/>
    </row>
    <row r="56" spans="2:8">
      <c r="C56" s="14"/>
    </row>
    <row r="57" spans="2:8">
      <c r="C57" s="14"/>
    </row>
    <row r="58" spans="2:8">
      <c r="C58" s="14"/>
    </row>
    <row r="59" spans="2:8">
      <c r="C59" s="14"/>
    </row>
    <row r="60" spans="2:8">
      <c r="C60" s="14"/>
    </row>
    <row r="61" spans="2:8">
      <c r="C61" s="14"/>
    </row>
    <row r="62" spans="2:8">
      <c r="C62" s="14"/>
    </row>
    <row r="63" spans="2:8">
      <c r="C63" s="14"/>
    </row>
    <row r="64" spans="2:8">
      <c r="C64" s="14"/>
    </row>
    <row r="65" spans="3:3">
      <c r="C65" s="14"/>
    </row>
    <row r="66" spans="3:3">
      <c r="C66" s="14"/>
    </row>
    <row r="67" spans="3:3">
      <c r="C67" s="14"/>
    </row>
    <row r="68" spans="3:3">
      <c r="C68" s="14"/>
    </row>
    <row r="69" spans="3:3">
      <c r="C69" s="14"/>
    </row>
    <row r="70" spans="3:3">
      <c r="C70" s="14"/>
    </row>
    <row r="71" spans="3:3">
      <c r="C71" s="14"/>
    </row>
    <row r="72" spans="3:3">
      <c r="C72" s="14"/>
    </row>
    <row r="73" spans="3:3">
      <c r="C73" s="14"/>
    </row>
    <row r="74" spans="3:3">
      <c r="C74" s="14"/>
    </row>
    <row r="75" spans="3:3">
      <c r="C75" s="14"/>
    </row>
    <row r="76" spans="3:3">
      <c r="C76" s="14"/>
    </row>
    <row r="77" spans="3:3">
      <c r="C77" s="14"/>
    </row>
    <row r="78" spans="3:3">
      <c r="C78" s="14"/>
    </row>
    <row r="79" spans="3:3">
      <c r="C79" s="14"/>
    </row>
    <row r="80" spans="3:3">
      <c r="C80" s="14"/>
    </row>
    <row r="81" spans="3:3">
      <c r="C81" s="14"/>
    </row>
    <row r="82" spans="3:3">
      <c r="C82" s="14"/>
    </row>
    <row r="83" spans="3:3">
      <c r="C83" s="14"/>
    </row>
    <row r="84" spans="3:3">
      <c r="C84" s="14"/>
    </row>
    <row r="85" spans="3:3">
      <c r="C85" s="14"/>
    </row>
    <row r="86" spans="3:3">
      <c r="C86" s="14"/>
    </row>
    <row r="87" spans="3:3">
      <c r="C87" s="14"/>
    </row>
    <row r="88" spans="3:3">
      <c r="C88" s="14"/>
    </row>
    <row r="89" spans="3:3">
      <c r="C89" s="14"/>
    </row>
    <row r="90" spans="3:3">
      <c r="C90" s="14"/>
    </row>
    <row r="91" spans="3:3">
      <c r="C91" s="14"/>
    </row>
    <row r="92" spans="3:3">
      <c r="C92" s="14"/>
    </row>
  </sheetData>
  <mergeCells count="57">
    <mergeCell ref="B1:H1"/>
    <mergeCell ref="E42:F42"/>
    <mergeCell ref="G42:H42"/>
    <mergeCell ref="G39:H39"/>
    <mergeCell ref="E41:F41"/>
    <mergeCell ref="E39:F39"/>
    <mergeCell ref="E40:F40"/>
    <mergeCell ref="G40:H40"/>
    <mergeCell ref="B2:H2"/>
    <mergeCell ref="B3:H3"/>
    <mergeCell ref="B4:H4"/>
    <mergeCell ref="B37:H37"/>
    <mergeCell ref="G41:H41"/>
    <mergeCell ref="E38:F38"/>
    <mergeCell ref="G38:H38"/>
    <mergeCell ref="B5:H6"/>
    <mergeCell ref="D8:E8"/>
    <mergeCell ref="B23:H23"/>
    <mergeCell ref="B24:B25"/>
    <mergeCell ref="C24:C25"/>
    <mergeCell ref="D24:D25"/>
    <mergeCell ref="E24:E25"/>
    <mergeCell ref="F24:G24"/>
    <mergeCell ref="H24:H25"/>
    <mergeCell ref="B16:H16"/>
    <mergeCell ref="C17:D17"/>
    <mergeCell ref="E17:F17"/>
    <mergeCell ref="G17:H17"/>
    <mergeCell ref="C18:D18"/>
    <mergeCell ref="E18:F18"/>
    <mergeCell ref="G18:H18"/>
    <mergeCell ref="C19:D19"/>
    <mergeCell ref="E19:F19"/>
    <mergeCell ref="G19:H19"/>
    <mergeCell ref="C20:D20"/>
    <mergeCell ref="E20:F20"/>
    <mergeCell ref="G20:H20"/>
    <mergeCell ref="C21:D21"/>
    <mergeCell ref="E21:F21"/>
    <mergeCell ref="G21:H21"/>
    <mergeCell ref="M23:M24"/>
    <mergeCell ref="N23:N24"/>
    <mergeCell ref="C48:E48"/>
    <mergeCell ref="F48:G48"/>
    <mergeCell ref="C50:E50"/>
    <mergeCell ref="C38:D38"/>
    <mergeCell ref="C39:D39"/>
    <mergeCell ref="C40:D40"/>
    <mergeCell ref="C41:D41"/>
    <mergeCell ref="C42:D42"/>
    <mergeCell ref="F46:G46"/>
    <mergeCell ref="F50:G50"/>
    <mergeCell ref="F44:G44"/>
    <mergeCell ref="F45:G45"/>
    <mergeCell ref="F47:G47"/>
    <mergeCell ref="C44:E44"/>
    <mergeCell ref="C46:E46"/>
  </mergeCells>
  <printOptions horizontalCentered="1"/>
  <pageMargins left="0.19685039370078741" right="0.19685039370078741" top="0.19685039370078741" bottom="0.23622047244094491" header="0.31496062992125984" footer="0.24"/>
  <pageSetup paperSize="9" scale="44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>
  <sheetPr codeName="Лист18">
    <tabColor rgb="FF0070C0"/>
    <pageSetUpPr fitToPage="1"/>
  </sheetPr>
  <dimension ref="A1:O80"/>
  <sheetViews>
    <sheetView zoomScale="110" zoomScaleNormal="110" workbookViewId="0">
      <selection activeCell="E24" sqref="E24:E25"/>
    </sheetView>
  </sheetViews>
  <sheetFormatPr defaultColWidth="9.140625" defaultRowHeight="15.75" outlineLevelRow="1"/>
  <cols>
    <col min="1" max="1" width="2.85546875" style="1" customWidth="1"/>
    <col min="2" max="2" width="55.85546875" style="1" customWidth="1"/>
    <col min="3" max="3" width="14.42578125" style="3" customWidth="1"/>
    <col min="4" max="4" width="8.5703125" style="3" customWidth="1"/>
    <col min="5" max="5" width="9.5703125" style="3" customWidth="1"/>
    <col min="6" max="6" width="9.5703125" style="1" customWidth="1"/>
    <col min="7" max="7" width="10.28515625" style="1" customWidth="1"/>
    <col min="8" max="8" width="10.5703125" style="1" customWidth="1"/>
    <col min="9" max="9" width="15.85546875" style="1" customWidth="1"/>
    <col min="10" max="11" width="14" style="1" customWidth="1"/>
    <col min="12" max="13" width="9.140625" style="1"/>
    <col min="14" max="14" width="16.85546875" style="182" customWidth="1"/>
    <col min="15" max="15" width="15.42578125" style="182" customWidth="1"/>
    <col min="16" max="16384" width="9.140625" style="1"/>
  </cols>
  <sheetData>
    <row r="1" spans="1:11">
      <c r="B1" s="255" t="s">
        <v>119</v>
      </c>
      <c r="C1" s="255"/>
      <c r="D1" s="255"/>
      <c r="E1" s="255"/>
      <c r="F1" s="255"/>
      <c r="G1" s="255"/>
      <c r="H1" s="255"/>
      <c r="I1" s="54"/>
      <c r="J1" s="54"/>
      <c r="K1" s="7"/>
    </row>
    <row r="2" spans="1:11">
      <c r="B2" s="255" t="s">
        <v>120</v>
      </c>
      <c r="C2" s="255"/>
      <c r="D2" s="255"/>
      <c r="E2" s="255"/>
      <c r="F2" s="255"/>
      <c r="G2" s="255"/>
      <c r="H2" s="255"/>
      <c r="I2" s="54"/>
      <c r="J2" s="54"/>
      <c r="K2" s="7"/>
    </row>
    <row r="3" spans="1:11">
      <c r="B3" s="255" t="s">
        <v>168</v>
      </c>
      <c r="C3" s="255"/>
      <c r="D3" s="255"/>
      <c r="E3" s="255"/>
      <c r="F3" s="255"/>
      <c r="G3" s="255"/>
      <c r="H3" s="255"/>
      <c r="I3" s="54"/>
      <c r="J3" s="54"/>
      <c r="K3" s="7"/>
    </row>
    <row r="4" spans="1:11">
      <c r="B4" s="255" t="s">
        <v>183</v>
      </c>
      <c r="C4" s="255"/>
      <c r="D4" s="255"/>
      <c r="E4" s="255"/>
      <c r="F4" s="255"/>
      <c r="G4" s="255"/>
      <c r="H4" s="255"/>
      <c r="I4" s="54"/>
      <c r="J4" s="54"/>
      <c r="K4" s="7"/>
    </row>
    <row r="5" spans="1:11" ht="15.75" customHeight="1">
      <c r="A5" s="13"/>
      <c r="B5" s="256" t="s">
        <v>177</v>
      </c>
      <c r="C5" s="256"/>
      <c r="D5" s="256"/>
      <c r="E5" s="256"/>
      <c r="F5" s="256"/>
      <c r="G5" s="256"/>
      <c r="H5" s="256"/>
      <c r="I5" s="13"/>
    </row>
    <row r="6" spans="1:11" ht="24" customHeight="1">
      <c r="A6" s="13"/>
      <c r="B6" s="256"/>
      <c r="C6" s="256"/>
      <c r="D6" s="256"/>
      <c r="E6" s="256"/>
      <c r="F6" s="256"/>
      <c r="G6" s="256"/>
      <c r="H6" s="256"/>
      <c r="I6" s="13"/>
    </row>
    <row r="7" spans="1:11" ht="8.25" customHeight="1"/>
    <row r="8" spans="1:11">
      <c r="B8" s="164" t="s">
        <v>0</v>
      </c>
      <c r="C8" s="173"/>
      <c r="D8" s="263" t="s">
        <v>64</v>
      </c>
      <c r="E8" s="263"/>
    </row>
    <row r="9" spans="1:11">
      <c r="B9" s="164" t="s">
        <v>1</v>
      </c>
      <c r="C9" s="173"/>
      <c r="D9" s="203">
        <v>1969</v>
      </c>
      <c r="E9" s="203"/>
    </row>
    <row r="10" spans="1:11" ht="15.75" hidden="1" customHeight="1" outlineLevel="1">
      <c r="B10" s="164" t="s">
        <v>2</v>
      </c>
      <c r="C10" s="173"/>
      <c r="D10" s="203">
        <v>4</v>
      </c>
      <c r="E10" s="203"/>
    </row>
    <row r="11" spans="1:11" ht="15.75" hidden="1" customHeight="1" outlineLevel="1">
      <c r="B11" s="164" t="s">
        <v>3</v>
      </c>
      <c r="C11" s="173"/>
      <c r="D11" s="203">
        <v>63</v>
      </c>
      <c r="E11" s="203"/>
    </row>
    <row r="12" spans="1:11" ht="30.75" hidden="1" customHeight="1" outlineLevel="1">
      <c r="B12" s="166" t="s">
        <v>4</v>
      </c>
      <c r="C12" s="174"/>
      <c r="D12" s="203" t="s">
        <v>65</v>
      </c>
      <c r="E12" s="203"/>
    </row>
    <row r="13" spans="1:11" collapsed="1">
      <c r="B13" s="164" t="s">
        <v>5</v>
      </c>
      <c r="C13" s="173"/>
      <c r="D13" s="203" t="s">
        <v>128</v>
      </c>
      <c r="E13" s="203"/>
      <c r="I13" s="5"/>
    </row>
    <row r="14" spans="1:11" ht="15.75" hidden="1" customHeight="1" outlineLevel="1">
      <c r="B14" s="1" t="s">
        <v>6</v>
      </c>
      <c r="D14" s="157" t="s">
        <v>66</v>
      </c>
      <c r="E14" s="157"/>
    </row>
    <row r="15" spans="1:11" ht="30.75" hidden="1" customHeight="1" outlineLevel="1">
      <c r="B15" s="15" t="s">
        <v>8</v>
      </c>
      <c r="C15" s="73"/>
      <c r="D15" s="204" t="s">
        <v>67</v>
      </c>
      <c r="E15" s="157"/>
      <c r="I15" s="5"/>
    </row>
    <row r="16" spans="1:11" ht="20.25" customHeight="1" collapsed="1" thickBot="1">
      <c r="B16" s="242" t="s">
        <v>176</v>
      </c>
      <c r="C16" s="242"/>
      <c r="D16" s="242"/>
      <c r="E16" s="242"/>
      <c r="F16" s="242"/>
      <c r="G16" s="242"/>
      <c r="H16" s="242"/>
      <c r="I16" s="145"/>
      <c r="J16" s="145"/>
    </row>
    <row r="17" spans="2:15" ht="45.75" customHeight="1" thickBot="1">
      <c r="B17" s="181" t="s">
        <v>178</v>
      </c>
      <c r="C17" s="228" t="s">
        <v>101</v>
      </c>
      <c r="D17" s="229"/>
      <c r="E17" s="238" t="s">
        <v>9</v>
      </c>
      <c r="F17" s="239"/>
      <c r="G17" s="238" t="s">
        <v>10</v>
      </c>
      <c r="H17" s="245"/>
      <c r="I17" s="10"/>
      <c r="J17" s="10"/>
    </row>
    <row r="18" spans="2:15">
      <c r="B18" s="151" t="s">
        <v>11</v>
      </c>
      <c r="C18" s="268">
        <v>4863607.2999999989</v>
      </c>
      <c r="D18" s="281"/>
      <c r="E18" s="268">
        <v>3167310.0499999993</v>
      </c>
      <c r="F18" s="281"/>
      <c r="G18" s="268">
        <v>1696297.25</v>
      </c>
      <c r="H18" s="287"/>
      <c r="I18" s="11"/>
      <c r="J18" s="11"/>
    </row>
    <row r="19" spans="2:15">
      <c r="B19" s="152" t="s">
        <v>12</v>
      </c>
      <c r="C19" s="232">
        <v>4656183.24</v>
      </c>
      <c r="D19" s="282"/>
      <c r="E19" s="232">
        <v>3031422.69</v>
      </c>
      <c r="F19" s="282"/>
      <c r="G19" s="232">
        <v>1624760.55</v>
      </c>
      <c r="H19" s="288"/>
      <c r="I19" s="11"/>
      <c r="J19" s="11"/>
    </row>
    <row r="20" spans="2:15" ht="16.5" thickBot="1">
      <c r="B20" s="153" t="s">
        <v>88</v>
      </c>
      <c r="C20" s="271">
        <v>4810030.4498999994</v>
      </c>
      <c r="D20" s="278"/>
      <c r="E20" s="271">
        <v>3211193.4498999994</v>
      </c>
      <c r="F20" s="278"/>
      <c r="G20" s="271">
        <v>1598837</v>
      </c>
      <c r="H20" s="286"/>
      <c r="I20" s="11"/>
      <c r="J20" s="11"/>
    </row>
    <row r="21" spans="2:15" ht="26.25" customHeight="1" thickBot="1">
      <c r="B21" s="154" t="s">
        <v>146</v>
      </c>
      <c r="C21" s="236">
        <f>C19-C20</f>
        <v>-153847.2098999992</v>
      </c>
      <c r="D21" s="279"/>
      <c r="E21" s="247">
        <f>E19-E20</f>
        <v>-179770.75989999948</v>
      </c>
      <c r="F21" s="279"/>
      <c r="G21" s="247">
        <f>G19-G20</f>
        <v>25923.550000000047</v>
      </c>
      <c r="H21" s="289"/>
      <c r="I21" s="146"/>
      <c r="J21" s="146"/>
    </row>
    <row r="22" spans="2:15">
      <c r="B22" s="15"/>
      <c r="C22" s="73"/>
      <c r="D22" s="204"/>
      <c r="E22" s="157"/>
      <c r="I22" s="5"/>
    </row>
    <row r="23" spans="2:15" ht="38.25" customHeight="1" thickBot="1">
      <c r="B23" s="265" t="s">
        <v>179</v>
      </c>
      <c r="C23" s="265"/>
      <c r="D23" s="265"/>
      <c r="E23" s="265"/>
      <c r="F23" s="265"/>
      <c r="G23" s="265"/>
      <c r="H23" s="265"/>
      <c r="M23" s="5"/>
      <c r="N23" s="226" t="s">
        <v>148</v>
      </c>
      <c r="O23" s="226" t="s">
        <v>149</v>
      </c>
    </row>
    <row r="24" spans="2:15" ht="32.25" customHeight="1">
      <c r="B24" s="261" t="s">
        <v>94</v>
      </c>
      <c r="C24" s="259" t="s">
        <v>95</v>
      </c>
      <c r="D24" s="259" t="s">
        <v>116</v>
      </c>
      <c r="E24" s="266" t="s">
        <v>180</v>
      </c>
      <c r="F24" s="240" t="s">
        <v>96</v>
      </c>
      <c r="G24" s="241"/>
      <c r="H24" s="257" t="s">
        <v>122</v>
      </c>
      <c r="M24" s="5"/>
      <c r="N24" s="295"/>
      <c r="O24" s="295"/>
    </row>
    <row r="25" spans="2:15" ht="41.25" customHeight="1" thickBot="1">
      <c r="B25" s="262"/>
      <c r="C25" s="260"/>
      <c r="D25" s="260"/>
      <c r="E25" s="267"/>
      <c r="F25" s="17" t="s">
        <v>81</v>
      </c>
      <c r="G25" s="18" t="s">
        <v>82</v>
      </c>
      <c r="H25" s="258"/>
      <c r="N25" s="183">
        <v>307135.69</v>
      </c>
      <c r="O25" s="183">
        <f>N25*1.05</f>
        <v>322492.47450000001</v>
      </c>
    </row>
    <row r="26" spans="2:15" ht="38.25">
      <c r="B26" s="19" t="s">
        <v>86</v>
      </c>
      <c r="C26" s="20" t="s">
        <v>97</v>
      </c>
      <c r="D26" s="21" t="s">
        <v>98</v>
      </c>
      <c r="E26" s="22">
        <v>1.06</v>
      </c>
      <c r="F26" s="23">
        <f>$N$25/$N$26*E26</f>
        <v>32459.006121635095</v>
      </c>
      <c r="G26" s="24">
        <f>$O$25/$O$26*E26</f>
        <v>34081.956427716854</v>
      </c>
      <c r="H26" s="25">
        <f>F26-G26</f>
        <v>-1622.9503060817588</v>
      </c>
      <c r="I26" s="26"/>
      <c r="J26" s="199"/>
      <c r="K26" s="199"/>
      <c r="L26" s="199"/>
      <c r="M26" s="27"/>
      <c r="N26" s="185">
        <f>E35-E33</f>
        <v>10.030000000000001</v>
      </c>
      <c r="O26" s="185">
        <f>E35-E33</f>
        <v>10.030000000000001</v>
      </c>
    </row>
    <row r="27" spans="2:15" ht="51">
      <c r="B27" s="28" t="s">
        <v>90</v>
      </c>
      <c r="C27" s="20" t="s">
        <v>97</v>
      </c>
      <c r="D27" s="21" t="s">
        <v>98</v>
      </c>
      <c r="E27" s="29">
        <v>1.19</v>
      </c>
      <c r="F27" s="23">
        <f t="shared" ref="F27:F34" si="0">$N$25/$N$26*E27</f>
        <v>36439.827627118641</v>
      </c>
      <c r="G27" s="24">
        <f t="shared" ref="G27:G31" si="1">$O$25/$O$26*E27</f>
        <v>38261.819008474573</v>
      </c>
      <c r="H27" s="25">
        <f t="shared" ref="H27:H32" si="2">F27-G27</f>
        <v>-1821.9913813559324</v>
      </c>
      <c r="I27" s="31"/>
      <c r="J27" s="2"/>
      <c r="K27" s="2"/>
      <c r="L27" s="2"/>
      <c r="M27" s="2"/>
      <c r="N27" s="186"/>
      <c r="O27" s="186"/>
    </row>
    <row r="28" spans="2:15" ht="36.75" customHeight="1">
      <c r="B28" s="32" t="s">
        <v>83</v>
      </c>
      <c r="C28" s="20" t="s">
        <v>97</v>
      </c>
      <c r="D28" s="21" t="s">
        <v>98</v>
      </c>
      <c r="E28" s="29">
        <v>0.32</v>
      </c>
      <c r="F28" s="23">
        <f t="shared" si="0"/>
        <v>9798.9452442671973</v>
      </c>
      <c r="G28" s="24">
        <f t="shared" si="1"/>
        <v>10288.892506480559</v>
      </c>
      <c r="H28" s="25">
        <f t="shared" si="2"/>
        <v>-489.94726221336168</v>
      </c>
      <c r="I28" s="33"/>
      <c r="M28" s="5"/>
    </row>
    <row r="29" spans="2:15" ht="25.5">
      <c r="B29" s="32" t="s">
        <v>84</v>
      </c>
      <c r="C29" s="34" t="s">
        <v>99</v>
      </c>
      <c r="D29" s="21" t="s">
        <v>98</v>
      </c>
      <c r="E29" s="29">
        <v>0.18</v>
      </c>
      <c r="F29" s="23">
        <f t="shared" si="0"/>
        <v>5511.906699900298</v>
      </c>
      <c r="G29" s="24">
        <f t="shared" si="1"/>
        <v>5787.502034895314</v>
      </c>
      <c r="H29" s="25">
        <f t="shared" si="2"/>
        <v>-275.59533499501595</v>
      </c>
      <c r="I29" s="33"/>
      <c r="M29" s="5"/>
    </row>
    <row r="30" spans="2:15" ht="51">
      <c r="B30" s="28" t="s">
        <v>87</v>
      </c>
      <c r="C30" s="20" t="s">
        <v>137</v>
      </c>
      <c r="D30" s="21" t="s">
        <v>98</v>
      </c>
      <c r="E30" s="29">
        <v>1.18</v>
      </c>
      <c r="F30" s="23">
        <f t="shared" si="0"/>
        <v>36133.610588235286</v>
      </c>
      <c r="G30" s="24">
        <f t="shared" si="1"/>
        <v>37940.291117647059</v>
      </c>
      <c r="H30" s="25">
        <f t="shared" si="2"/>
        <v>-1806.680529411773</v>
      </c>
      <c r="I30" s="33"/>
    </row>
    <row r="31" spans="2:15" ht="216.75" customHeight="1">
      <c r="B31" s="28" t="s">
        <v>121</v>
      </c>
      <c r="C31" s="20" t="s">
        <v>100</v>
      </c>
      <c r="D31" s="21" t="s">
        <v>98</v>
      </c>
      <c r="E31" s="29">
        <v>5.61</v>
      </c>
      <c r="F31" s="23">
        <f t="shared" si="0"/>
        <v>171787.75881355931</v>
      </c>
      <c r="G31" s="24">
        <f t="shared" si="1"/>
        <v>180377.1467542373</v>
      </c>
      <c r="H31" s="25">
        <f t="shared" si="2"/>
        <v>-8589.3879406779888</v>
      </c>
      <c r="I31" s="31"/>
      <c r="J31" s="2"/>
      <c r="K31" s="2"/>
      <c r="L31" s="2"/>
      <c r="M31" s="4"/>
      <c r="N31" s="186"/>
      <c r="O31" s="186"/>
    </row>
    <row r="32" spans="2:15" ht="105.75" customHeight="1">
      <c r="B32" s="28" t="s">
        <v>102</v>
      </c>
      <c r="C32" s="20" t="s">
        <v>97</v>
      </c>
      <c r="D32" s="21" t="s">
        <v>98</v>
      </c>
      <c r="E32" s="29">
        <v>0.24</v>
      </c>
      <c r="F32" s="23">
        <f t="shared" si="0"/>
        <v>7349.208933200398</v>
      </c>
      <c r="G32" s="24">
        <f t="shared" ref="G32" si="3">$O$25/$O$26*E32</f>
        <v>7716.6693798604183</v>
      </c>
      <c r="H32" s="25">
        <f t="shared" si="2"/>
        <v>-367.46044666002035</v>
      </c>
      <c r="I32" s="33"/>
    </row>
    <row r="33" spans="2:15" ht="26.25" customHeight="1">
      <c r="B33" s="32" t="s">
        <v>91</v>
      </c>
      <c r="C33" s="20" t="s">
        <v>97</v>
      </c>
      <c r="D33" s="21" t="s">
        <v>98</v>
      </c>
      <c r="E33" s="29">
        <v>7.22</v>
      </c>
      <c r="F33" s="23">
        <v>221088.71</v>
      </c>
      <c r="G33" s="30">
        <v>145896</v>
      </c>
      <c r="H33" s="25">
        <f>F33-G33</f>
        <v>75192.709999999992</v>
      </c>
      <c r="I33" s="33"/>
      <c r="M33" s="5"/>
    </row>
    <row r="34" spans="2:15" ht="16.5" thickBot="1">
      <c r="B34" s="62" t="s">
        <v>85</v>
      </c>
      <c r="C34" s="36" t="s">
        <v>100</v>
      </c>
      <c r="D34" s="37" t="s">
        <v>98</v>
      </c>
      <c r="E34" s="38">
        <v>0.25</v>
      </c>
      <c r="F34" s="23">
        <f t="shared" si="0"/>
        <v>7655.4259720837481</v>
      </c>
      <c r="G34" s="24">
        <f t="shared" ref="G34" si="4">$O$25/$O$26*E34</f>
        <v>8038.197270687936</v>
      </c>
      <c r="H34" s="25">
        <f>F34-G34</f>
        <v>-382.7712986041879</v>
      </c>
      <c r="I34" s="33"/>
    </row>
    <row r="35" spans="2:15" ht="16.5" thickBot="1">
      <c r="B35" s="39" t="s">
        <v>89</v>
      </c>
      <c r="C35" s="40"/>
      <c r="D35" s="40"/>
      <c r="E35" s="41">
        <f>SUM(E26:E34)</f>
        <v>17.25</v>
      </c>
      <c r="F35" s="42">
        <f>SUM(F26:F34)</f>
        <v>528224.39999999991</v>
      </c>
      <c r="G35" s="43">
        <f>SUM(G26:G34)</f>
        <v>468388.47450000001</v>
      </c>
      <c r="H35" s="44">
        <f>SUM(H26:H34)</f>
        <v>59835.925499999954</v>
      </c>
      <c r="I35" s="65"/>
    </row>
    <row r="36" spans="2:15">
      <c r="B36" s="5"/>
      <c r="C36" s="5"/>
      <c r="D36" s="5"/>
      <c r="E36" s="14"/>
      <c r="F36" s="14"/>
      <c r="G36" s="14"/>
      <c r="H36" s="3"/>
    </row>
    <row r="37" spans="2:15" ht="16.5" customHeight="1" thickBot="1">
      <c r="B37" s="242" t="s">
        <v>181</v>
      </c>
      <c r="C37" s="242"/>
      <c r="D37" s="242"/>
      <c r="E37" s="242"/>
      <c r="F37" s="242"/>
      <c r="G37" s="242"/>
      <c r="H37" s="242"/>
      <c r="I37" s="145"/>
      <c r="J37" s="145"/>
      <c r="K37" s="9"/>
    </row>
    <row r="38" spans="2:15" ht="41.25" customHeight="1" thickBot="1">
      <c r="B38" s="181" t="s">
        <v>182</v>
      </c>
      <c r="C38" s="228" t="s">
        <v>101</v>
      </c>
      <c r="D38" s="229"/>
      <c r="E38" s="238" t="s">
        <v>9</v>
      </c>
      <c r="F38" s="239"/>
      <c r="G38" s="238" t="s">
        <v>10</v>
      </c>
      <c r="H38" s="245"/>
      <c r="I38" s="10"/>
      <c r="J38" s="10"/>
      <c r="K38" s="10"/>
      <c r="L38" s="46"/>
      <c r="M38" s="47"/>
      <c r="N38" s="187"/>
      <c r="O38" s="187"/>
    </row>
    <row r="39" spans="2:15">
      <c r="B39" s="151" t="s">
        <v>11</v>
      </c>
      <c r="C39" s="268">
        <f>E39+G39+I39+J39</f>
        <v>5391831.6999999993</v>
      </c>
      <c r="D39" s="281"/>
      <c r="E39" s="268">
        <f>F26+F27+F28+F29+F30+F31+F32+F34+E18</f>
        <v>3474445.7399999993</v>
      </c>
      <c r="F39" s="281"/>
      <c r="G39" s="268">
        <f>F33+G18</f>
        <v>1917385.96</v>
      </c>
      <c r="H39" s="287"/>
      <c r="I39" s="11"/>
      <c r="J39" s="11"/>
      <c r="K39" s="11"/>
      <c r="L39" s="49"/>
      <c r="M39" s="49"/>
      <c r="N39" s="188"/>
    </row>
    <row r="40" spans="2:15">
      <c r="B40" s="152" t="s">
        <v>12</v>
      </c>
      <c r="C40" s="232">
        <f>E40+G40+I40+J40</f>
        <v>5241450.68</v>
      </c>
      <c r="D40" s="282"/>
      <c r="E40" s="232">
        <f>E19+340303.33</f>
        <v>3371726.02</v>
      </c>
      <c r="F40" s="282"/>
      <c r="G40" s="232">
        <f>G19+244964.11</f>
        <v>1869724.6600000001</v>
      </c>
      <c r="H40" s="288"/>
      <c r="I40" s="11"/>
      <c r="J40" s="11"/>
      <c r="K40" s="11"/>
      <c r="L40" s="51"/>
      <c r="M40" s="49"/>
      <c r="N40" s="188"/>
    </row>
    <row r="41" spans="2:15" ht="16.5" thickBot="1">
      <c r="B41" s="153" t="s">
        <v>88</v>
      </c>
      <c r="C41" s="271">
        <f>E41+G41+I41+J41</f>
        <v>5278418.9243999999</v>
      </c>
      <c r="D41" s="278"/>
      <c r="E41" s="271">
        <f>G26+G27+G28+G29+G30+G31+G32+G34+E20</f>
        <v>3533685.9243999994</v>
      </c>
      <c r="F41" s="278"/>
      <c r="G41" s="271">
        <f>G33+G20</f>
        <v>1744733</v>
      </c>
      <c r="H41" s="286"/>
      <c r="I41" s="11"/>
      <c r="J41" s="11"/>
      <c r="K41" s="11"/>
      <c r="L41" s="33"/>
      <c r="M41" s="33"/>
    </row>
    <row r="42" spans="2:15" ht="29.25" customHeight="1" thickBot="1">
      <c r="B42" s="154" t="s">
        <v>147</v>
      </c>
      <c r="C42" s="236">
        <f>C40-C41</f>
        <v>-36968.2444000002</v>
      </c>
      <c r="D42" s="279"/>
      <c r="E42" s="247">
        <f>E40-E41</f>
        <v>-161959.90439999942</v>
      </c>
      <c r="F42" s="279"/>
      <c r="G42" s="247">
        <f>G40-G41</f>
        <v>124991.66000000015</v>
      </c>
      <c r="H42" s="289"/>
      <c r="I42" s="146"/>
      <c r="J42" s="146"/>
      <c r="K42" s="12"/>
      <c r="L42" s="33"/>
      <c r="M42" s="33"/>
    </row>
    <row r="43" spans="2:15" ht="32.25" customHeight="1">
      <c r="B43" s="52" t="s">
        <v>77</v>
      </c>
      <c r="C43" s="296" t="s">
        <v>150</v>
      </c>
      <c r="D43" s="296"/>
      <c r="E43" s="296"/>
      <c r="F43" s="298" t="s">
        <v>174</v>
      </c>
      <c r="G43" s="298"/>
      <c r="H43" s="139"/>
      <c r="I43" s="171"/>
      <c r="J43" s="2"/>
      <c r="K43" s="2"/>
      <c r="L43" s="2"/>
      <c r="M43" s="2"/>
      <c r="N43" s="186"/>
      <c r="O43" s="186"/>
    </row>
    <row r="44" spans="2:15" ht="8.25" customHeight="1">
      <c r="B44" s="52"/>
      <c r="C44" s="53"/>
      <c r="D44" s="53"/>
      <c r="E44" s="211"/>
      <c r="F44" s="252"/>
      <c r="G44" s="252"/>
      <c r="H44" s="52"/>
      <c r="I44" s="52"/>
      <c r="J44" s="2"/>
      <c r="K44" s="2"/>
      <c r="L44" s="2"/>
      <c r="M44" s="2"/>
      <c r="N44" s="186"/>
      <c r="O44" s="186"/>
    </row>
    <row r="45" spans="2:15">
      <c r="B45" s="52" t="s">
        <v>78</v>
      </c>
      <c r="C45" s="225" t="s">
        <v>150</v>
      </c>
      <c r="D45" s="225"/>
      <c r="E45" s="225"/>
      <c r="F45" s="251" t="s">
        <v>93</v>
      </c>
      <c r="G45" s="251"/>
      <c r="H45" s="52"/>
      <c r="I45" s="52"/>
      <c r="J45" s="2"/>
      <c r="K45" s="2"/>
      <c r="L45" s="2"/>
      <c r="M45" s="2"/>
      <c r="N45" s="186"/>
      <c r="O45" s="186"/>
    </row>
    <row r="46" spans="2:15" ht="8.25" customHeight="1">
      <c r="B46" s="52"/>
      <c r="C46" s="53"/>
      <c r="D46" s="53"/>
      <c r="E46" s="211"/>
      <c r="F46" s="251"/>
      <c r="G46" s="251"/>
      <c r="H46" s="52"/>
      <c r="I46" s="52"/>
    </row>
    <row r="47" spans="2:15">
      <c r="B47" s="52" t="s">
        <v>79</v>
      </c>
      <c r="C47" s="225" t="s">
        <v>151</v>
      </c>
      <c r="D47" s="225"/>
      <c r="E47" s="225"/>
      <c r="F47" s="251" t="s">
        <v>175</v>
      </c>
      <c r="G47" s="251"/>
      <c r="H47" s="52"/>
      <c r="I47" s="52"/>
    </row>
    <row r="48" spans="2:15" ht="8.25" customHeight="1">
      <c r="B48" s="54"/>
      <c r="C48" s="55"/>
      <c r="D48" s="55"/>
      <c r="E48" s="211"/>
      <c r="F48" s="197"/>
      <c r="G48" s="54"/>
      <c r="H48" s="56"/>
      <c r="I48" s="6"/>
    </row>
    <row r="49" spans="2:7">
      <c r="B49" s="52" t="s">
        <v>80</v>
      </c>
      <c r="C49" s="225" t="s">
        <v>151</v>
      </c>
      <c r="D49" s="225"/>
      <c r="E49" s="225"/>
      <c r="F49" s="251" t="s">
        <v>175</v>
      </c>
      <c r="G49" s="251"/>
    </row>
    <row r="50" spans="2:7" ht="9" customHeight="1">
      <c r="B50" s="8"/>
      <c r="C50" s="8"/>
      <c r="D50" s="8"/>
      <c r="E50" s="211"/>
      <c r="F50" s="297"/>
      <c r="G50" s="297"/>
    </row>
    <row r="51" spans="2:7">
      <c r="C51" s="14"/>
      <c r="E51" s="200"/>
    </row>
    <row r="52" spans="2:7">
      <c r="C52" s="14"/>
    </row>
    <row r="53" spans="2:7">
      <c r="C53" s="14"/>
    </row>
    <row r="54" spans="2:7">
      <c r="C54" s="14"/>
    </row>
    <row r="55" spans="2:7">
      <c r="C55" s="14"/>
    </row>
    <row r="56" spans="2:7">
      <c r="C56" s="14"/>
    </row>
    <row r="57" spans="2:7">
      <c r="C57" s="14"/>
    </row>
    <row r="58" spans="2:7">
      <c r="C58" s="14"/>
    </row>
    <row r="59" spans="2:7">
      <c r="C59" s="14"/>
    </row>
    <row r="60" spans="2:7">
      <c r="C60" s="14"/>
    </row>
    <row r="61" spans="2:7">
      <c r="C61" s="14"/>
    </row>
    <row r="62" spans="2:7">
      <c r="C62" s="14"/>
    </row>
    <row r="63" spans="2:7">
      <c r="C63" s="14"/>
    </row>
    <row r="64" spans="2:7">
      <c r="C64" s="14"/>
    </row>
    <row r="65" spans="3:3">
      <c r="C65" s="14"/>
    </row>
    <row r="66" spans="3:3">
      <c r="C66" s="14"/>
    </row>
    <row r="67" spans="3:3">
      <c r="C67" s="14"/>
    </row>
    <row r="68" spans="3:3">
      <c r="C68" s="14"/>
    </row>
    <row r="69" spans="3:3">
      <c r="C69" s="14"/>
    </row>
    <row r="70" spans="3:3">
      <c r="C70" s="14"/>
    </row>
    <row r="71" spans="3:3">
      <c r="C71" s="14"/>
    </row>
    <row r="72" spans="3:3">
      <c r="C72" s="14"/>
    </row>
    <row r="73" spans="3:3">
      <c r="C73" s="14"/>
    </row>
    <row r="74" spans="3:3">
      <c r="C74" s="14"/>
    </row>
    <row r="75" spans="3:3">
      <c r="C75" s="14"/>
    </row>
    <row r="76" spans="3:3">
      <c r="C76" s="14"/>
    </row>
    <row r="77" spans="3:3">
      <c r="C77" s="14"/>
    </row>
    <row r="78" spans="3:3">
      <c r="C78" s="14"/>
    </row>
    <row r="79" spans="3:3">
      <c r="C79" s="14"/>
    </row>
    <row r="80" spans="3:3">
      <c r="C80" s="14"/>
    </row>
  </sheetData>
  <mergeCells count="58">
    <mergeCell ref="B1:H1"/>
    <mergeCell ref="B2:H2"/>
    <mergeCell ref="B3:H3"/>
    <mergeCell ref="B4:H4"/>
    <mergeCell ref="E42:F42"/>
    <mergeCell ref="H24:H25"/>
    <mergeCell ref="D8:E8"/>
    <mergeCell ref="G39:H39"/>
    <mergeCell ref="G40:H40"/>
    <mergeCell ref="B5:H6"/>
    <mergeCell ref="E38:F38"/>
    <mergeCell ref="G19:H19"/>
    <mergeCell ref="C20:D20"/>
    <mergeCell ref="E20:F20"/>
    <mergeCell ref="G20:H20"/>
    <mergeCell ref="C21:D21"/>
    <mergeCell ref="F50:G50"/>
    <mergeCell ref="G38:H38"/>
    <mergeCell ref="B23:H23"/>
    <mergeCell ref="B24:B25"/>
    <mergeCell ref="C24:C25"/>
    <mergeCell ref="D24:D25"/>
    <mergeCell ref="E24:E25"/>
    <mergeCell ref="F24:G24"/>
    <mergeCell ref="F49:G49"/>
    <mergeCell ref="F43:G43"/>
    <mergeCell ref="E41:F41"/>
    <mergeCell ref="E39:F39"/>
    <mergeCell ref="F46:G46"/>
    <mergeCell ref="E40:F40"/>
    <mergeCell ref="F44:G44"/>
    <mergeCell ref="C47:E47"/>
    <mergeCell ref="O23:O24"/>
    <mergeCell ref="C43:E43"/>
    <mergeCell ref="C45:E45"/>
    <mergeCell ref="N23:N24"/>
    <mergeCell ref="C17:D17"/>
    <mergeCell ref="E17:F17"/>
    <mergeCell ref="G17:H17"/>
    <mergeCell ref="C18:D18"/>
    <mergeCell ref="E18:F18"/>
    <mergeCell ref="G18:H18"/>
    <mergeCell ref="E21:F21"/>
    <mergeCell ref="G21:H21"/>
    <mergeCell ref="C38:D38"/>
    <mergeCell ref="C19:D19"/>
    <mergeCell ref="E19:F19"/>
    <mergeCell ref="C39:D39"/>
    <mergeCell ref="C40:D40"/>
    <mergeCell ref="C41:D41"/>
    <mergeCell ref="C42:D42"/>
    <mergeCell ref="B16:H16"/>
    <mergeCell ref="B37:H37"/>
    <mergeCell ref="F47:G47"/>
    <mergeCell ref="F45:G45"/>
    <mergeCell ref="G41:H41"/>
    <mergeCell ref="G42:H42"/>
    <mergeCell ref="C49:E49"/>
  </mergeCells>
  <printOptions horizontalCentered="1"/>
  <pageMargins left="0.19685039370078741" right="0.19685039370078741" top="0.15748031496062992" bottom="0.23622047244094491" header="0.16" footer="0.24"/>
  <pageSetup paperSize="9" scale="46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>
  <sheetPr codeName="Лист19">
    <tabColor rgb="FF0070C0"/>
    <pageSetUpPr fitToPage="1"/>
  </sheetPr>
  <dimension ref="B1:R72"/>
  <sheetViews>
    <sheetView zoomScale="110" zoomScaleNormal="110" workbookViewId="0">
      <selection activeCell="E24" sqref="E24:E25"/>
    </sheetView>
  </sheetViews>
  <sheetFormatPr defaultColWidth="9.140625" defaultRowHeight="15.75" outlineLevelRow="1"/>
  <cols>
    <col min="1" max="1" width="2.85546875" style="1" customWidth="1"/>
    <col min="2" max="2" width="55.7109375" style="1" customWidth="1"/>
    <col min="3" max="3" width="14.5703125" style="3" customWidth="1"/>
    <col min="4" max="4" width="9.28515625" style="3" customWidth="1"/>
    <col min="5" max="5" width="9.42578125" style="3" customWidth="1"/>
    <col min="6" max="6" width="10.42578125" style="1" customWidth="1"/>
    <col min="7" max="7" width="10.28515625" style="1" customWidth="1"/>
    <col min="8" max="8" width="11" style="1" customWidth="1"/>
    <col min="9" max="9" width="16.7109375" style="1" customWidth="1"/>
    <col min="10" max="10" width="16.140625" style="1" customWidth="1"/>
    <col min="11" max="11" width="9.140625" style="1"/>
    <col min="12" max="12" width="9.140625" style="78"/>
    <col min="13" max="13" width="14.140625" style="182" customWidth="1"/>
    <col min="14" max="14" width="14.85546875" style="182" customWidth="1"/>
    <col min="15" max="18" width="9.140625" style="78"/>
    <col min="19" max="16384" width="9.140625" style="1"/>
  </cols>
  <sheetData>
    <row r="1" spans="2:10">
      <c r="B1" s="255" t="s">
        <v>119</v>
      </c>
      <c r="C1" s="255"/>
      <c r="D1" s="255"/>
      <c r="E1" s="255"/>
      <c r="F1" s="255"/>
      <c r="G1" s="255"/>
      <c r="H1" s="255"/>
    </row>
    <row r="2" spans="2:10">
      <c r="B2" s="255" t="s">
        <v>120</v>
      </c>
      <c r="C2" s="255"/>
      <c r="D2" s="255"/>
      <c r="E2" s="255"/>
      <c r="F2" s="255"/>
      <c r="G2" s="255"/>
      <c r="H2" s="255"/>
    </row>
    <row r="3" spans="2:10">
      <c r="B3" s="255" t="s">
        <v>169</v>
      </c>
      <c r="C3" s="255"/>
      <c r="D3" s="255"/>
      <c r="E3" s="255"/>
      <c r="F3" s="255"/>
      <c r="G3" s="255"/>
      <c r="H3" s="255"/>
    </row>
    <row r="4" spans="2:10">
      <c r="B4" s="255" t="s">
        <v>183</v>
      </c>
      <c r="C4" s="255"/>
      <c r="D4" s="255"/>
      <c r="E4" s="255"/>
      <c r="F4" s="255"/>
      <c r="G4" s="255"/>
      <c r="H4" s="255"/>
    </row>
    <row r="5" spans="2:10" ht="19.5" customHeight="1">
      <c r="B5" s="256" t="s">
        <v>177</v>
      </c>
      <c r="C5" s="256"/>
      <c r="D5" s="256"/>
      <c r="E5" s="256"/>
      <c r="F5" s="256"/>
      <c r="G5" s="256"/>
      <c r="H5" s="256"/>
      <c r="I5" s="210"/>
      <c r="J5" s="210"/>
    </row>
    <row r="6" spans="2:10" ht="20.25" customHeight="1">
      <c r="B6" s="256"/>
      <c r="C6" s="256"/>
      <c r="D6" s="256"/>
      <c r="E6" s="256"/>
      <c r="F6" s="256"/>
      <c r="G6" s="256"/>
      <c r="H6" s="256"/>
      <c r="I6" s="210"/>
      <c r="J6" s="210"/>
    </row>
    <row r="7" spans="2:10" ht="8.25" customHeight="1"/>
    <row r="8" spans="2:10">
      <c r="B8" s="164" t="s">
        <v>0</v>
      </c>
      <c r="C8" s="173"/>
      <c r="D8" s="263" t="s">
        <v>68</v>
      </c>
      <c r="E8" s="263"/>
    </row>
    <row r="9" spans="2:10">
      <c r="B9" s="164" t="s">
        <v>1</v>
      </c>
      <c r="C9" s="173"/>
      <c r="D9" s="203">
        <v>1971</v>
      </c>
      <c r="E9" s="203"/>
    </row>
    <row r="10" spans="2:10" ht="15.75" hidden="1" customHeight="1" outlineLevel="1">
      <c r="B10" s="164" t="s">
        <v>2</v>
      </c>
      <c r="C10" s="173"/>
      <c r="D10" s="203">
        <v>4</v>
      </c>
      <c r="E10" s="203"/>
    </row>
    <row r="11" spans="2:10" ht="15.75" hidden="1" customHeight="1" outlineLevel="1">
      <c r="B11" s="164" t="s">
        <v>3</v>
      </c>
      <c r="C11" s="173"/>
      <c r="D11" s="203">
        <v>33</v>
      </c>
      <c r="E11" s="203"/>
    </row>
    <row r="12" spans="2:10" ht="30.75" hidden="1" customHeight="1" outlineLevel="1">
      <c r="B12" s="166" t="s">
        <v>4</v>
      </c>
      <c r="C12" s="174"/>
      <c r="D12" s="203" t="s">
        <v>69</v>
      </c>
      <c r="E12" s="203"/>
    </row>
    <row r="13" spans="2:10" collapsed="1">
      <c r="B13" s="164" t="s">
        <v>5</v>
      </c>
      <c r="C13" s="173"/>
      <c r="D13" s="203" t="s">
        <v>129</v>
      </c>
      <c r="E13" s="203"/>
    </row>
    <row r="14" spans="2:10" ht="15.75" hidden="1" customHeight="1" outlineLevel="1">
      <c r="B14" s="1" t="s">
        <v>6</v>
      </c>
      <c r="D14" s="157" t="s">
        <v>70</v>
      </c>
      <c r="E14" s="157"/>
    </row>
    <row r="15" spans="2:10" ht="30.75" hidden="1" customHeight="1" outlineLevel="1">
      <c r="B15" s="15" t="s">
        <v>8</v>
      </c>
      <c r="C15" s="73"/>
      <c r="D15" s="204" t="s">
        <v>71</v>
      </c>
      <c r="E15" s="157"/>
    </row>
    <row r="16" spans="2:10" ht="16.5" collapsed="1" thickBot="1">
      <c r="B16" s="242" t="s">
        <v>176</v>
      </c>
      <c r="C16" s="242"/>
      <c r="D16" s="242"/>
      <c r="E16" s="242"/>
      <c r="F16" s="242"/>
      <c r="G16" s="242"/>
      <c r="H16" s="242"/>
    </row>
    <row r="17" spans="2:14" ht="41.25" customHeight="1" thickBot="1">
      <c r="B17" s="181" t="s">
        <v>178</v>
      </c>
      <c r="C17" s="228" t="s">
        <v>101</v>
      </c>
      <c r="D17" s="229"/>
      <c r="E17" s="238" t="s">
        <v>9</v>
      </c>
      <c r="F17" s="239"/>
      <c r="G17" s="238" t="s">
        <v>10</v>
      </c>
      <c r="H17" s="245"/>
    </row>
    <row r="18" spans="2:14">
      <c r="B18" s="151" t="s">
        <v>11</v>
      </c>
      <c r="C18" s="268">
        <v>2636982.4</v>
      </c>
      <c r="D18" s="281"/>
      <c r="E18" s="268">
        <v>1838422.11</v>
      </c>
      <c r="F18" s="281"/>
      <c r="G18" s="268">
        <v>798560.28999999992</v>
      </c>
      <c r="H18" s="287"/>
    </row>
    <row r="19" spans="2:14">
      <c r="B19" s="152" t="s">
        <v>12</v>
      </c>
      <c r="C19" s="232">
        <v>2562738.84</v>
      </c>
      <c r="D19" s="282"/>
      <c r="E19" s="232">
        <v>1786710.6099999999</v>
      </c>
      <c r="F19" s="282"/>
      <c r="G19" s="232">
        <v>776028.23</v>
      </c>
      <c r="H19" s="288"/>
    </row>
    <row r="20" spans="2:14" ht="16.5" thickBot="1">
      <c r="B20" s="153" t="s">
        <v>88</v>
      </c>
      <c r="C20" s="271">
        <v>2691454.7010000004</v>
      </c>
      <c r="D20" s="278"/>
      <c r="E20" s="271">
        <v>1866732.7010000001</v>
      </c>
      <c r="F20" s="278"/>
      <c r="G20" s="271">
        <v>824722</v>
      </c>
      <c r="H20" s="286"/>
    </row>
    <row r="21" spans="2:14" ht="36.75" thickBot="1">
      <c r="B21" s="154" t="s">
        <v>146</v>
      </c>
      <c r="C21" s="236">
        <f>E21+G21</f>
        <v>-128715.86100000027</v>
      </c>
      <c r="D21" s="279"/>
      <c r="E21" s="247">
        <f>E19-E20</f>
        <v>-80022.091000000248</v>
      </c>
      <c r="F21" s="279"/>
      <c r="G21" s="247">
        <f>G19-G20</f>
        <v>-48693.770000000019</v>
      </c>
      <c r="H21" s="289"/>
    </row>
    <row r="22" spans="2:14">
      <c r="B22" s="15"/>
      <c r="C22" s="73"/>
      <c r="D22" s="204"/>
      <c r="E22" s="157"/>
    </row>
    <row r="23" spans="2:14" ht="35.25" customHeight="1" thickBot="1">
      <c r="B23" s="265" t="s">
        <v>179</v>
      </c>
      <c r="C23" s="265"/>
      <c r="D23" s="265"/>
      <c r="E23" s="265"/>
      <c r="F23" s="265"/>
      <c r="G23" s="265"/>
      <c r="H23" s="265"/>
      <c r="I23" s="140"/>
      <c r="J23" s="140"/>
      <c r="L23" s="84"/>
      <c r="M23" s="226" t="s">
        <v>148</v>
      </c>
      <c r="N23" s="226" t="s">
        <v>149</v>
      </c>
    </row>
    <row r="24" spans="2:14" ht="37.5" customHeight="1">
      <c r="B24" s="261" t="s">
        <v>94</v>
      </c>
      <c r="C24" s="259" t="s">
        <v>95</v>
      </c>
      <c r="D24" s="259" t="s">
        <v>116</v>
      </c>
      <c r="E24" s="266" t="s">
        <v>180</v>
      </c>
      <c r="F24" s="240" t="s">
        <v>96</v>
      </c>
      <c r="G24" s="241"/>
      <c r="H24" s="257" t="s">
        <v>122</v>
      </c>
      <c r="I24" s="141"/>
      <c r="J24" s="141"/>
      <c r="L24" s="84"/>
      <c r="M24" s="280"/>
      <c r="N24" s="280"/>
    </row>
    <row r="25" spans="2:14" ht="41.25" customHeight="1" thickBot="1">
      <c r="B25" s="262"/>
      <c r="C25" s="260"/>
      <c r="D25" s="260"/>
      <c r="E25" s="267"/>
      <c r="F25" s="17" t="s">
        <v>81</v>
      </c>
      <c r="G25" s="18" t="s">
        <v>82</v>
      </c>
      <c r="H25" s="258"/>
      <c r="I25" s="141"/>
      <c r="J25" s="141"/>
      <c r="M25" s="183">
        <v>179661.24</v>
      </c>
      <c r="N25" s="183">
        <f>M25*1.05</f>
        <v>188644.302</v>
      </c>
    </row>
    <row r="26" spans="2:14" ht="38.25">
      <c r="B26" s="19" t="s">
        <v>86</v>
      </c>
      <c r="C26" s="20" t="s">
        <v>97</v>
      </c>
      <c r="D26" s="21" t="s">
        <v>98</v>
      </c>
      <c r="E26" s="22">
        <v>1.56</v>
      </c>
      <c r="F26" s="23">
        <f>$M$25/$M$26*E26</f>
        <v>23355.961199999998</v>
      </c>
      <c r="G26" s="24">
        <f>$N$25/$N$26*E26</f>
        <v>24523.759260000003</v>
      </c>
      <c r="H26" s="25">
        <f>F26-G26</f>
        <v>-1167.7980600000046</v>
      </c>
      <c r="I26" s="142"/>
      <c r="J26" s="142"/>
      <c r="K26" s="199"/>
      <c r="L26" s="94"/>
      <c r="M26" s="185">
        <f>E35-E33</f>
        <v>12</v>
      </c>
      <c r="N26" s="185">
        <f>E35-E33</f>
        <v>12</v>
      </c>
    </row>
    <row r="27" spans="2:14" ht="51">
      <c r="B27" s="28" t="s">
        <v>90</v>
      </c>
      <c r="C27" s="20" t="s">
        <v>97</v>
      </c>
      <c r="D27" s="21" t="s">
        <v>98</v>
      </c>
      <c r="E27" s="29">
        <v>1.69</v>
      </c>
      <c r="F27" s="23">
        <f t="shared" ref="F27:F34" si="0">$M$25/$M$26*E27</f>
        <v>25302.291299999997</v>
      </c>
      <c r="G27" s="24">
        <f t="shared" ref="G27:G28" si="1">$N$25/$N$26*E27</f>
        <v>26567.405865000001</v>
      </c>
      <c r="H27" s="25">
        <f t="shared" ref="H27:H32" si="2">F27-G27</f>
        <v>-1265.1145650000035</v>
      </c>
      <c r="I27" s="142"/>
      <c r="J27" s="142"/>
      <c r="K27" s="2"/>
      <c r="L27" s="98"/>
      <c r="M27" s="186"/>
      <c r="N27" s="186"/>
    </row>
    <row r="28" spans="2:14" ht="27.75" customHeight="1">
      <c r="B28" s="32" t="s">
        <v>83</v>
      </c>
      <c r="C28" s="20" t="s">
        <v>97</v>
      </c>
      <c r="D28" s="21" t="s">
        <v>98</v>
      </c>
      <c r="E28" s="29">
        <v>0.32</v>
      </c>
      <c r="F28" s="23">
        <f t="shared" si="0"/>
        <v>4790.9663999999993</v>
      </c>
      <c r="G28" s="24">
        <f t="shared" si="1"/>
        <v>5030.5147200000001</v>
      </c>
      <c r="H28" s="25">
        <f t="shared" si="2"/>
        <v>-239.54832000000079</v>
      </c>
      <c r="I28" s="142"/>
      <c r="J28" s="142"/>
      <c r="L28" s="84"/>
    </row>
    <row r="29" spans="2:14" ht="25.5">
      <c r="B29" s="32" t="s">
        <v>84</v>
      </c>
      <c r="C29" s="34" t="s">
        <v>99</v>
      </c>
      <c r="D29" s="21" t="s">
        <v>98</v>
      </c>
      <c r="E29" s="29">
        <v>0.5</v>
      </c>
      <c r="F29" s="23">
        <f t="shared" si="0"/>
        <v>7485.8849999999993</v>
      </c>
      <c r="G29" s="24">
        <f t="shared" ref="G29:G31" si="3">$N$25/$N$26*E29</f>
        <v>7860.1792500000001</v>
      </c>
      <c r="H29" s="25">
        <f t="shared" si="2"/>
        <v>-374.29425000000083</v>
      </c>
      <c r="I29" s="142"/>
      <c r="J29" s="142"/>
      <c r="L29" s="84"/>
    </row>
    <row r="30" spans="2:14" ht="51">
      <c r="B30" s="28" t="s">
        <v>87</v>
      </c>
      <c r="C30" s="20" t="s">
        <v>137</v>
      </c>
      <c r="D30" s="21" t="s">
        <v>98</v>
      </c>
      <c r="E30" s="29">
        <v>1.18</v>
      </c>
      <c r="F30" s="23">
        <f t="shared" si="0"/>
        <v>17666.688599999998</v>
      </c>
      <c r="G30" s="24">
        <f t="shared" si="3"/>
        <v>18550.02303</v>
      </c>
      <c r="H30" s="25">
        <f t="shared" si="2"/>
        <v>-883.33443000000261</v>
      </c>
      <c r="I30" s="142"/>
      <c r="J30" s="142"/>
    </row>
    <row r="31" spans="2:14" ht="220.5" customHeight="1">
      <c r="B31" s="28" t="s">
        <v>121</v>
      </c>
      <c r="C31" s="20" t="s">
        <v>100</v>
      </c>
      <c r="D31" s="21" t="s">
        <v>98</v>
      </c>
      <c r="E31" s="29">
        <v>5.61</v>
      </c>
      <c r="F31" s="23">
        <f t="shared" si="0"/>
        <v>83991.62969999999</v>
      </c>
      <c r="G31" s="24">
        <f t="shared" si="3"/>
        <v>88191.211185000007</v>
      </c>
      <c r="H31" s="25">
        <f t="shared" si="2"/>
        <v>-4199.581485000017</v>
      </c>
      <c r="I31" s="142"/>
      <c r="J31" s="142"/>
      <c r="K31" s="2"/>
      <c r="L31" s="99"/>
      <c r="M31" s="186"/>
      <c r="N31" s="186"/>
    </row>
    <row r="32" spans="2:14" ht="104.25" customHeight="1">
      <c r="B32" s="28" t="s">
        <v>102</v>
      </c>
      <c r="C32" s="20" t="s">
        <v>97</v>
      </c>
      <c r="D32" s="21" t="s">
        <v>98</v>
      </c>
      <c r="E32" s="29">
        <v>0.24</v>
      </c>
      <c r="F32" s="23">
        <f t="shared" si="0"/>
        <v>3593.2247999999995</v>
      </c>
      <c r="G32" s="24">
        <f t="shared" ref="G32" si="4">$N$25/$N$26*E32</f>
        <v>3772.8860399999999</v>
      </c>
      <c r="H32" s="25">
        <f t="shared" si="2"/>
        <v>-179.66124000000036</v>
      </c>
      <c r="I32" s="142"/>
      <c r="J32" s="142"/>
    </row>
    <row r="33" spans="2:14" ht="27.75" customHeight="1">
      <c r="B33" s="32" t="s">
        <v>91</v>
      </c>
      <c r="C33" s="20" t="s">
        <v>97</v>
      </c>
      <c r="D33" s="21" t="s">
        <v>98</v>
      </c>
      <c r="E33" s="29">
        <v>5</v>
      </c>
      <c r="F33" s="23">
        <v>86337.7</v>
      </c>
      <c r="G33" s="30">
        <v>23022</v>
      </c>
      <c r="H33" s="25">
        <f>F33-G33</f>
        <v>63315.7</v>
      </c>
      <c r="I33" s="142"/>
      <c r="J33" s="142"/>
      <c r="L33" s="84"/>
    </row>
    <row r="34" spans="2:14" ht="16.5" thickBot="1">
      <c r="B34" s="62" t="s">
        <v>85</v>
      </c>
      <c r="C34" s="36" t="s">
        <v>100</v>
      </c>
      <c r="D34" s="37" t="s">
        <v>98</v>
      </c>
      <c r="E34" s="38">
        <v>0.9</v>
      </c>
      <c r="F34" s="23">
        <f t="shared" si="0"/>
        <v>13474.592999999999</v>
      </c>
      <c r="G34" s="24">
        <f t="shared" ref="G34" si="5">$N$25/$N$26*E34</f>
        <v>14148.32265</v>
      </c>
      <c r="H34" s="25">
        <f>F34-G34</f>
        <v>-673.72965000000113</v>
      </c>
      <c r="I34" s="142"/>
      <c r="J34" s="142"/>
    </row>
    <row r="35" spans="2:14" ht="16.5" thickBot="1">
      <c r="B35" s="39" t="s">
        <v>89</v>
      </c>
      <c r="C35" s="40"/>
      <c r="D35" s="40"/>
      <c r="E35" s="41">
        <f>SUM(E26:E34)</f>
        <v>17</v>
      </c>
      <c r="F35" s="42">
        <f>SUM(F26:F34)</f>
        <v>265998.93999999994</v>
      </c>
      <c r="G35" s="43">
        <f>SUM(G26:G34)</f>
        <v>211666.30200000003</v>
      </c>
      <c r="H35" s="44">
        <f>SUM(H26:H34)</f>
        <v>54332.63799999997</v>
      </c>
      <c r="I35" s="143"/>
      <c r="J35" s="143"/>
    </row>
    <row r="36" spans="2:14">
      <c r="B36" s="5"/>
      <c r="C36" s="5"/>
      <c r="D36" s="5"/>
      <c r="E36" s="14"/>
      <c r="F36" s="14"/>
      <c r="G36" s="14"/>
      <c r="H36" s="3"/>
      <c r="I36" s="3"/>
      <c r="J36" s="3"/>
    </row>
    <row r="37" spans="2:14" ht="16.5" customHeight="1" thickBot="1">
      <c r="B37" s="242" t="s">
        <v>181</v>
      </c>
      <c r="C37" s="242"/>
      <c r="D37" s="242"/>
      <c r="E37" s="242"/>
      <c r="F37" s="242"/>
      <c r="G37" s="242"/>
      <c r="H37" s="242"/>
      <c r="I37" s="144"/>
      <c r="J37" s="144"/>
    </row>
    <row r="38" spans="2:14" ht="53.25" customHeight="1" thickBot="1">
      <c r="B38" s="181" t="s">
        <v>182</v>
      </c>
      <c r="C38" s="228" t="s">
        <v>101</v>
      </c>
      <c r="D38" s="229"/>
      <c r="E38" s="238" t="s">
        <v>9</v>
      </c>
      <c r="F38" s="239"/>
      <c r="G38" s="238" t="s">
        <v>10</v>
      </c>
      <c r="H38" s="245"/>
      <c r="I38" s="158"/>
      <c r="J38" s="159"/>
      <c r="K38" s="46"/>
      <c r="L38" s="118"/>
      <c r="M38" s="187"/>
      <c r="N38" s="187"/>
    </row>
    <row r="39" spans="2:14" ht="21" customHeight="1">
      <c r="B39" s="151" t="s">
        <v>11</v>
      </c>
      <c r="C39" s="268">
        <f>E39+G39</f>
        <v>2902981.34</v>
      </c>
      <c r="D39" s="281"/>
      <c r="E39" s="268">
        <f>F26+F27+F28+F29+F30+F31+F32+F34+E18</f>
        <v>2018083.35</v>
      </c>
      <c r="F39" s="281"/>
      <c r="G39" s="268">
        <f>F33+G18</f>
        <v>884897.98999999987</v>
      </c>
      <c r="H39" s="287"/>
      <c r="I39" s="160"/>
      <c r="J39" s="161"/>
      <c r="K39" s="49"/>
      <c r="L39" s="121"/>
      <c r="M39" s="188"/>
    </row>
    <row r="40" spans="2:14">
      <c r="B40" s="152" t="s">
        <v>12</v>
      </c>
      <c r="C40" s="232">
        <f>E40+G40</f>
        <v>2826528.61</v>
      </c>
      <c r="D40" s="282"/>
      <c r="E40" s="232">
        <f>E19+178169.12</f>
        <v>1964879.73</v>
      </c>
      <c r="F40" s="282"/>
      <c r="G40" s="232">
        <f>G19+85620.65</f>
        <v>861648.88</v>
      </c>
      <c r="H40" s="288"/>
      <c r="I40" s="160"/>
      <c r="J40" s="162"/>
      <c r="K40" s="51"/>
      <c r="L40" s="121"/>
      <c r="M40" s="188"/>
    </row>
    <row r="41" spans="2:14" ht="16.5" thickBot="1">
      <c r="B41" s="153" t="s">
        <v>88</v>
      </c>
      <c r="C41" s="271">
        <f>E41+G41</f>
        <v>2903121.003</v>
      </c>
      <c r="D41" s="278"/>
      <c r="E41" s="271">
        <f>G26+G27+G28+G29+G30+G31+G32+G34+E20</f>
        <v>2055377.003</v>
      </c>
      <c r="F41" s="278"/>
      <c r="G41" s="271">
        <f>G33+G20</f>
        <v>847744</v>
      </c>
      <c r="H41" s="286"/>
      <c r="I41" s="160"/>
      <c r="J41" s="48"/>
      <c r="K41" s="33"/>
      <c r="L41" s="101"/>
    </row>
    <row r="42" spans="2:14" ht="30.75" customHeight="1" thickBot="1">
      <c r="B42" s="154" t="s">
        <v>147</v>
      </c>
      <c r="C42" s="236">
        <f>E42+G42</f>
        <v>-76592.39300000004</v>
      </c>
      <c r="D42" s="279"/>
      <c r="E42" s="247">
        <f>E40-E41</f>
        <v>-90497.273000000045</v>
      </c>
      <c r="F42" s="279"/>
      <c r="G42" s="247">
        <f>G40-G41</f>
        <v>13904.880000000005</v>
      </c>
      <c r="H42" s="289"/>
      <c r="I42" s="163"/>
      <c r="J42" s="148"/>
      <c r="K42" s="33"/>
      <c r="L42" s="101"/>
    </row>
    <row r="43" spans="2:14" ht="15" customHeight="1">
      <c r="B43" s="76"/>
      <c r="C43" s="146"/>
      <c r="D43" s="146"/>
      <c r="E43" s="148"/>
      <c r="F43" s="148"/>
      <c r="G43" s="148"/>
      <c r="H43" s="148"/>
      <c r="I43" s="201"/>
      <c r="J43" s="201"/>
      <c r="K43" s="2"/>
      <c r="L43" s="98"/>
      <c r="M43" s="186"/>
      <c r="N43" s="186"/>
    </row>
    <row r="44" spans="2:14" ht="16.5" customHeight="1">
      <c r="B44" s="52" t="s">
        <v>77</v>
      </c>
      <c r="C44" s="225" t="s">
        <v>150</v>
      </c>
      <c r="D44" s="225"/>
      <c r="E44" s="225"/>
      <c r="F44" s="251" t="s">
        <v>174</v>
      </c>
      <c r="G44" s="251"/>
      <c r="H44" s="52"/>
      <c r="I44" s="202"/>
      <c r="J44" s="202"/>
      <c r="K44" s="2"/>
      <c r="L44" s="98"/>
      <c r="M44" s="186"/>
      <c r="N44" s="186"/>
    </row>
    <row r="45" spans="2:14" ht="9.75" customHeight="1">
      <c r="B45" s="52"/>
      <c r="C45" s="53"/>
      <c r="D45" s="53"/>
      <c r="E45" s="211"/>
      <c r="F45" s="252"/>
      <c r="G45" s="252"/>
      <c r="H45" s="52"/>
      <c r="I45" s="201"/>
      <c r="J45" s="201"/>
      <c r="K45" s="2"/>
      <c r="L45" s="98"/>
      <c r="M45" s="186"/>
      <c r="N45" s="186"/>
    </row>
    <row r="46" spans="2:14" ht="15" customHeight="1">
      <c r="B46" s="52" t="s">
        <v>78</v>
      </c>
      <c r="C46" s="225" t="s">
        <v>150</v>
      </c>
      <c r="D46" s="225"/>
      <c r="E46" s="225"/>
      <c r="F46" s="251" t="s">
        <v>93</v>
      </c>
      <c r="G46" s="251"/>
      <c r="H46" s="52"/>
      <c r="I46" s="201"/>
      <c r="J46" s="201"/>
    </row>
    <row r="47" spans="2:14" ht="8.25" customHeight="1">
      <c r="B47" s="52"/>
      <c r="C47" s="53"/>
      <c r="D47" s="53"/>
      <c r="E47" s="211"/>
      <c r="F47" s="251"/>
      <c r="G47" s="251"/>
      <c r="H47" s="52"/>
      <c r="I47" s="201"/>
      <c r="J47" s="201"/>
    </row>
    <row r="48" spans="2:14" ht="14.25" customHeight="1">
      <c r="B48" s="52" t="s">
        <v>79</v>
      </c>
      <c r="C48" s="225" t="s">
        <v>151</v>
      </c>
      <c r="D48" s="225"/>
      <c r="E48" s="225"/>
      <c r="F48" s="251" t="s">
        <v>175</v>
      </c>
      <c r="G48" s="251"/>
      <c r="H48" s="52"/>
      <c r="I48" s="56"/>
      <c r="J48" s="56"/>
    </row>
    <row r="49" spans="2:8" ht="9" customHeight="1">
      <c r="B49" s="54"/>
      <c r="C49" s="55"/>
      <c r="D49" s="55"/>
      <c r="E49" s="211"/>
      <c r="F49" s="197"/>
      <c r="G49" s="54"/>
      <c r="H49" s="56"/>
    </row>
    <row r="50" spans="2:8" ht="15" customHeight="1">
      <c r="B50" s="52" t="s">
        <v>80</v>
      </c>
      <c r="C50" s="225" t="s">
        <v>151</v>
      </c>
      <c r="D50" s="225"/>
      <c r="E50" s="225"/>
      <c r="F50" s="251" t="s">
        <v>175</v>
      </c>
      <c r="G50" s="251"/>
      <c r="H50" s="52"/>
    </row>
    <row r="51" spans="2:8">
      <c r="B51" s="8"/>
      <c r="C51" s="69"/>
      <c r="D51" s="70"/>
      <c r="E51" s="211"/>
      <c r="F51" s="8"/>
      <c r="G51" s="8"/>
    </row>
    <row r="52" spans="2:8">
      <c r="C52" s="14"/>
    </row>
    <row r="53" spans="2:8">
      <c r="C53" s="14"/>
    </row>
    <row r="54" spans="2:8">
      <c r="C54" s="14"/>
    </row>
    <row r="55" spans="2:8">
      <c r="C55" s="14"/>
    </row>
    <row r="56" spans="2:8">
      <c r="C56" s="14"/>
    </row>
    <row r="57" spans="2:8">
      <c r="C57" s="14"/>
    </row>
    <row r="58" spans="2:8">
      <c r="C58" s="14"/>
    </row>
    <row r="59" spans="2:8">
      <c r="C59" s="14"/>
    </row>
    <row r="60" spans="2:8">
      <c r="C60" s="14"/>
    </row>
    <row r="61" spans="2:8">
      <c r="C61" s="14"/>
    </row>
    <row r="62" spans="2:8">
      <c r="C62" s="14"/>
    </row>
    <row r="63" spans="2:8">
      <c r="C63" s="14"/>
    </row>
    <row r="64" spans="2:8">
      <c r="C64" s="14"/>
    </row>
    <row r="65" spans="3:3">
      <c r="C65" s="14"/>
    </row>
    <row r="66" spans="3:3">
      <c r="C66" s="14"/>
    </row>
    <row r="67" spans="3:3">
      <c r="C67" s="14"/>
    </row>
    <row r="68" spans="3:3">
      <c r="C68" s="14"/>
    </row>
    <row r="69" spans="3:3">
      <c r="C69" s="14"/>
    </row>
    <row r="70" spans="3:3">
      <c r="C70" s="14"/>
    </row>
    <row r="71" spans="3:3">
      <c r="C71" s="14"/>
    </row>
    <row r="72" spans="3:3">
      <c r="C72" s="14"/>
    </row>
  </sheetData>
  <mergeCells count="57">
    <mergeCell ref="B2:H2"/>
    <mergeCell ref="F50:G50"/>
    <mergeCell ref="G41:H41"/>
    <mergeCell ref="B1:H1"/>
    <mergeCell ref="B5:H6"/>
    <mergeCell ref="D24:D25"/>
    <mergeCell ref="E24:E25"/>
    <mergeCell ref="F24:G24"/>
    <mergeCell ref="H24:H25"/>
    <mergeCell ref="G38:H38"/>
    <mergeCell ref="G39:H39"/>
    <mergeCell ref="G40:H40"/>
    <mergeCell ref="D8:E8"/>
    <mergeCell ref="B37:H37"/>
    <mergeCell ref="B23:H23"/>
    <mergeCell ref="B24:B25"/>
    <mergeCell ref="B3:H3"/>
    <mergeCell ref="B4:H4"/>
    <mergeCell ref="E41:F41"/>
    <mergeCell ref="F47:G47"/>
    <mergeCell ref="B16:H16"/>
    <mergeCell ref="C17:D17"/>
    <mergeCell ref="E17:F17"/>
    <mergeCell ref="G17:H17"/>
    <mergeCell ref="C18:D18"/>
    <mergeCell ref="E18:F18"/>
    <mergeCell ref="G18:H18"/>
    <mergeCell ref="C19:D19"/>
    <mergeCell ref="E19:F19"/>
    <mergeCell ref="G19:H19"/>
    <mergeCell ref="C20:D20"/>
    <mergeCell ref="E20:F20"/>
    <mergeCell ref="G20:H20"/>
    <mergeCell ref="C21:D21"/>
    <mergeCell ref="E21:F21"/>
    <mergeCell ref="G21:H21"/>
    <mergeCell ref="C50:E50"/>
    <mergeCell ref="E42:F42"/>
    <mergeCell ref="F46:G46"/>
    <mergeCell ref="G42:H42"/>
    <mergeCell ref="F44:G44"/>
    <mergeCell ref="F45:G45"/>
    <mergeCell ref="F48:G48"/>
    <mergeCell ref="C41:D41"/>
    <mergeCell ref="C42:D42"/>
    <mergeCell ref="C44:E44"/>
    <mergeCell ref="C46:E46"/>
    <mergeCell ref="C48:E48"/>
    <mergeCell ref="M23:M24"/>
    <mergeCell ref="N23:N24"/>
    <mergeCell ref="C38:D38"/>
    <mergeCell ref="C39:D39"/>
    <mergeCell ref="C40:D40"/>
    <mergeCell ref="E40:F40"/>
    <mergeCell ref="E38:F38"/>
    <mergeCell ref="E39:F39"/>
    <mergeCell ref="C24:C25"/>
  </mergeCells>
  <printOptions horizontalCentered="1"/>
  <pageMargins left="0.19685039370078741" right="0.19685039370078741" top="0.15748031496062992" bottom="0.23622047244094491" header="0.31496062992125984" footer="0.25"/>
  <pageSetup paperSize="9" scale="4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>
    <tabColor rgb="FF0070C0"/>
    <pageSetUpPr fitToPage="1"/>
  </sheetPr>
  <dimension ref="A1:N52"/>
  <sheetViews>
    <sheetView zoomScale="110" zoomScaleNormal="110" workbookViewId="0">
      <selection activeCell="C24" sqref="C24:C25"/>
    </sheetView>
  </sheetViews>
  <sheetFormatPr defaultColWidth="9.140625" defaultRowHeight="15.75" outlineLevelRow="1"/>
  <cols>
    <col min="1" max="1" width="2.85546875" style="1" customWidth="1"/>
    <col min="2" max="2" width="55.85546875" style="1" customWidth="1"/>
    <col min="3" max="3" width="14.28515625" style="60" customWidth="1"/>
    <col min="4" max="4" width="8.85546875" style="3" customWidth="1"/>
    <col min="5" max="5" width="9.85546875" style="3" customWidth="1"/>
    <col min="6" max="6" width="10.42578125" style="1" customWidth="1"/>
    <col min="7" max="8" width="10.28515625" style="1" customWidth="1"/>
    <col min="9" max="9" width="16.42578125" style="1" customWidth="1"/>
    <col min="10" max="10" width="14.7109375" style="1" customWidth="1"/>
    <col min="11" max="12" width="9.140625" style="1"/>
    <col min="13" max="13" width="18" style="182" customWidth="1"/>
    <col min="14" max="14" width="21.5703125" style="182" customWidth="1"/>
    <col min="15" max="15" width="11.42578125" style="1" customWidth="1"/>
    <col min="16" max="16384" width="9.140625" style="1"/>
  </cols>
  <sheetData>
    <row r="1" spans="1:9">
      <c r="B1" s="255" t="s">
        <v>119</v>
      </c>
      <c r="C1" s="255"/>
      <c r="D1" s="255"/>
      <c r="E1" s="255"/>
      <c r="F1" s="255"/>
      <c r="G1" s="255"/>
      <c r="H1" s="255"/>
    </row>
    <row r="2" spans="1:9">
      <c r="B2" s="255" t="s">
        <v>120</v>
      </c>
      <c r="C2" s="255"/>
      <c r="D2" s="255"/>
      <c r="E2" s="255"/>
      <c r="F2" s="255"/>
      <c r="G2" s="255"/>
      <c r="H2" s="255"/>
    </row>
    <row r="3" spans="1:9">
      <c r="B3" s="255" t="s">
        <v>153</v>
      </c>
      <c r="C3" s="255"/>
      <c r="D3" s="255"/>
      <c r="E3" s="255"/>
      <c r="F3" s="255"/>
      <c r="G3" s="255"/>
      <c r="H3" s="255"/>
    </row>
    <row r="4" spans="1:9">
      <c r="B4" s="255" t="s">
        <v>183</v>
      </c>
      <c r="C4" s="255"/>
      <c r="D4" s="255"/>
      <c r="E4" s="255"/>
      <c r="F4" s="255"/>
      <c r="G4" s="255"/>
      <c r="H4" s="255"/>
    </row>
    <row r="5" spans="1:9" ht="15.75" customHeight="1">
      <c r="A5" s="13"/>
      <c r="B5" s="256" t="s">
        <v>177</v>
      </c>
      <c r="C5" s="256"/>
      <c r="D5" s="256"/>
      <c r="E5" s="256"/>
      <c r="F5" s="256"/>
      <c r="G5" s="256"/>
      <c r="H5" s="256"/>
    </row>
    <row r="6" spans="1:9" ht="24" customHeight="1">
      <c r="A6" s="13"/>
      <c r="B6" s="256"/>
      <c r="C6" s="256"/>
      <c r="D6" s="256"/>
      <c r="E6" s="256"/>
      <c r="F6" s="256"/>
      <c r="G6" s="256"/>
      <c r="H6" s="256"/>
    </row>
    <row r="7" spans="1:9" ht="7.5" customHeight="1"/>
    <row r="8" spans="1:9" ht="12" customHeight="1">
      <c r="B8" s="164" t="s">
        <v>0</v>
      </c>
      <c r="C8" s="168"/>
      <c r="D8" s="263" t="s">
        <v>16</v>
      </c>
      <c r="E8" s="263"/>
      <c r="F8" s="164"/>
    </row>
    <row r="9" spans="1:9" ht="15.75" customHeight="1">
      <c r="B9" s="164" t="s">
        <v>1</v>
      </c>
      <c r="C9" s="168"/>
      <c r="D9" s="203">
        <v>1971</v>
      </c>
      <c r="E9" s="203"/>
      <c r="F9" s="164"/>
    </row>
    <row r="10" spans="1:9" hidden="1" outlineLevel="1">
      <c r="B10" s="164" t="s">
        <v>2</v>
      </c>
      <c r="C10" s="168"/>
      <c r="D10" s="203">
        <v>4</v>
      </c>
      <c r="E10" s="203"/>
      <c r="F10" s="164"/>
    </row>
    <row r="11" spans="1:9" hidden="1" outlineLevel="1">
      <c r="B11" s="164" t="s">
        <v>3</v>
      </c>
      <c r="C11" s="168"/>
      <c r="D11" s="203">
        <v>64</v>
      </c>
      <c r="E11" s="203"/>
      <c r="F11" s="164"/>
    </row>
    <row r="12" spans="1:9" ht="30.75" hidden="1" customHeight="1" outlineLevel="1">
      <c r="B12" s="166" t="s">
        <v>4</v>
      </c>
      <c r="C12" s="169"/>
      <c r="D12" s="203" t="s">
        <v>17</v>
      </c>
      <c r="E12" s="203"/>
      <c r="F12" s="164"/>
    </row>
    <row r="13" spans="1:9" collapsed="1">
      <c r="B13" s="164" t="s">
        <v>5</v>
      </c>
      <c r="C13" s="168"/>
      <c r="D13" s="203" t="s">
        <v>124</v>
      </c>
      <c r="E13" s="203"/>
      <c r="F13" s="164"/>
      <c r="I13" s="5"/>
    </row>
    <row r="14" spans="1:9" hidden="1" outlineLevel="1">
      <c r="B14" s="1" t="s">
        <v>6</v>
      </c>
      <c r="D14" s="157" t="s">
        <v>7</v>
      </c>
      <c r="E14" s="157"/>
    </row>
    <row r="15" spans="1:9" ht="30.75" hidden="1" customHeight="1" outlineLevel="1">
      <c r="B15" s="15" t="s">
        <v>8</v>
      </c>
      <c r="C15" s="61"/>
      <c r="D15" s="204" t="s">
        <v>18</v>
      </c>
      <c r="E15" s="157"/>
      <c r="I15" s="5"/>
    </row>
    <row r="16" spans="1:9" ht="18" customHeight="1" collapsed="1" thickBot="1">
      <c r="B16" s="242" t="s">
        <v>176</v>
      </c>
      <c r="C16" s="242"/>
      <c r="D16" s="242"/>
      <c r="E16" s="242"/>
      <c r="F16" s="242"/>
      <c r="G16" s="242"/>
      <c r="H16" s="242"/>
      <c r="I16" s="5"/>
    </row>
    <row r="17" spans="2:14" ht="44.25" customHeight="1" thickBot="1">
      <c r="B17" s="181" t="s">
        <v>178</v>
      </c>
      <c r="C17" s="228" t="s">
        <v>101</v>
      </c>
      <c r="D17" s="229"/>
      <c r="E17" s="238" t="s">
        <v>9</v>
      </c>
      <c r="F17" s="239"/>
      <c r="G17" s="238" t="s">
        <v>10</v>
      </c>
      <c r="H17" s="245"/>
      <c r="I17" s="5"/>
    </row>
    <row r="18" spans="2:14" ht="18" customHeight="1">
      <c r="B18" s="151" t="s">
        <v>11</v>
      </c>
      <c r="C18" s="268">
        <v>4487454.8600000003</v>
      </c>
      <c r="D18" s="269"/>
      <c r="E18" s="230">
        <v>3221480.56</v>
      </c>
      <c r="F18" s="231"/>
      <c r="G18" s="230">
        <v>1265974.3</v>
      </c>
      <c r="H18" s="246"/>
      <c r="I18" s="5"/>
    </row>
    <row r="19" spans="2:14" ht="18" customHeight="1">
      <c r="B19" s="152" t="s">
        <v>12</v>
      </c>
      <c r="C19" s="232">
        <v>4276383.28</v>
      </c>
      <c r="D19" s="270"/>
      <c r="E19" s="232">
        <v>3067080.39</v>
      </c>
      <c r="F19" s="233"/>
      <c r="G19" s="232">
        <v>1209302.8899999999</v>
      </c>
      <c r="H19" s="243"/>
      <c r="I19" s="5"/>
    </row>
    <row r="20" spans="2:14" ht="18" customHeight="1" thickBot="1">
      <c r="B20" s="153" t="s">
        <v>88</v>
      </c>
      <c r="C20" s="271">
        <v>4234474.4012000002</v>
      </c>
      <c r="D20" s="272"/>
      <c r="E20" s="234">
        <v>3264376.4012000002</v>
      </c>
      <c r="F20" s="235"/>
      <c r="G20" s="234">
        <v>970098</v>
      </c>
      <c r="H20" s="244"/>
      <c r="I20" s="5"/>
    </row>
    <row r="21" spans="2:14" ht="32.25" customHeight="1" thickBot="1">
      <c r="B21" s="154" t="s">
        <v>146</v>
      </c>
      <c r="C21" s="236">
        <f>E21+G21</f>
        <v>41908.878799999831</v>
      </c>
      <c r="D21" s="237"/>
      <c r="E21" s="247">
        <f>E19-E20</f>
        <v>-197296.01120000007</v>
      </c>
      <c r="F21" s="248"/>
      <c r="G21" s="247">
        <f>G19-G20</f>
        <v>239204.8899999999</v>
      </c>
      <c r="H21" s="249"/>
      <c r="I21" s="5"/>
    </row>
    <row r="22" spans="2:14" ht="13.5" customHeight="1">
      <c r="B22" s="15"/>
      <c r="C22" s="61"/>
      <c r="D22" s="204"/>
      <c r="E22" s="157"/>
      <c r="I22" s="5"/>
    </row>
    <row r="23" spans="2:14" ht="29.25" customHeight="1" thickBot="1">
      <c r="B23" s="265" t="s">
        <v>179</v>
      </c>
      <c r="C23" s="265"/>
      <c r="D23" s="265"/>
      <c r="E23" s="265"/>
      <c r="F23" s="265"/>
      <c r="G23" s="265"/>
      <c r="H23" s="265"/>
      <c r="L23" s="5"/>
      <c r="M23" s="226" t="s">
        <v>148</v>
      </c>
      <c r="N23" s="226" t="s">
        <v>149</v>
      </c>
    </row>
    <row r="24" spans="2:14" ht="36.75" customHeight="1">
      <c r="B24" s="261" t="s">
        <v>94</v>
      </c>
      <c r="C24" s="259" t="s">
        <v>95</v>
      </c>
      <c r="D24" s="259" t="s">
        <v>116</v>
      </c>
      <c r="E24" s="266" t="s">
        <v>180</v>
      </c>
      <c r="F24" s="240" t="s">
        <v>96</v>
      </c>
      <c r="G24" s="241"/>
      <c r="H24" s="257" t="s">
        <v>122</v>
      </c>
      <c r="L24" s="5"/>
      <c r="M24" s="227"/>
      <c r="N24" s="227"/>
    </row>
    <row r="25" spans="2:14" ht="42.75" customHeight="1" thickBot="1">
      <c r="B25" s="262"/>
      <c r="C25" s="260"/>
      <c r="D25" s="260"/>
      <c r="E25" s="267"/>
      <c r="F25" s="17" t="s">
        <v>81</v>
      </c>
      <c r="G25" s="18" t="s">
        <v>82</v>
      </c>
      <c r="H25" s="258"/>
      <c r="M25" s="183">
        <v>339845.78</v>
      </c>
      <c r="N25" s="185">
        <f>M25*1.05</f>
        <v>356838.06900000002</v>
      </c>
    </row>
    <row r="26" spans="2:14" s="199" customFormat="1" ht="43.5" customHeight="1">
      <c r="B26" s="19" t="s">
        <v>86</v>
      </c>
      <c r="C26" s="20" t="s">
        <v>97</v>
      </c>
      <c r="D26" s="21" t="s">
        <v>98</v>
      </c>
      <c r="E26" s="22">
        <v>1.06</v>
      </c>
      <c r="F26" s="23">
        <f t="shared" ref="F26:F31" si="0">$M$25/$M$26*E26</f>
        <v>32250.360501342886</v>
      </c>
      <c r="G26" s="24">
        <f t="shared" ref="G26:G31" si="1">$N$25/$N$26*E26</f>
        <v>33862.87852641003</v>
      </c>
      <c r="H26" s="25">
        <f>F26-G26</f>
        <v>-1612.5180250671438</v>
      </c>
      <c r="I26" s="26"/>
      <c r="L26" s="27"/>
      <c r="M26" s="185">
        <f>E35-E33</f>
        <v>11.17</v>
      </c>
      <c r="N26" s="185">
        <f>E35-E33</f>
        <v>11.17</v>
      </c>
    </row>
    <row r="27" spans="2:14" s="2" customFormat="1" ht="51">
      <c r="B27" s="28" t="s">
        <v>90</v>
      </c>
      <c r="C27" s="20" t="s">
        <v>97</v>
      </c>
      <c r="D27" s="21" t="s">
        <v>98</v>
      </c>
      <c r="E27" s="29">
        <v>1.19</v>
      </c>
      <c r="F27" s="23">
        <f t="shared" si="0"/>
        <v>36205.593393017007</v>
      </c>
      <c r="G27" s="24">
        <f t="shared" si="1"/>
        <v>38015.873062667866</v>
      </c>
      <c r="H27" s="25">
        <f t="shared" ref="H27:H32" si="2">F27-G27</f>
        <v>-1810.2796696508594</v>
      </c>
      <c r="I27" s="31"/>
      <c r="M27" s="186"/>
      <c r="N27" s="186"/>
    </row>
    <row r="28" spans="2:14" ht="30" customHeight="1">
      <c r="B28" s="32" t="s">
        <v>83</v>
      </c>
      <c r="C28" s="20" t="s">
        <v>97</v>
      </c>
      <c r="D28" s="21" t="s">
        <v>98</v>
      </c>
      <c r="E28" s="29">
        <v>0.32</v>
      </c>
      <c r="F28" s="23">
        <f t="shared" si="0"/>
        <v>9735.957887197852</v>
      </c>
      <c r="G28" s="24">
        <f t="shared" si="1"/>
        <v>10222.755781557746</v>
      </c>
      <c r="H28" s="25">
        <f t="shared" si="2"/>
        <v>-486.79789435989369</v>
      </c>
      <c r="I28" s="33"/>
      <c r="L28" s="5"/>
    </row>
    <row r="29" spans="2:14" ht="29.25" customHeight="1">
      <c r="B29" s="32" t="s">
        <v>84</v>
      </c>
      <c r="C29" s="34" t="s">
        <v>99</v>
      </c>
      <c r="D29" s="21" t="s">
        <v>98</v>
      </c>
      <c r="E29" s="29">
        <v>0.33</v>
      </c>
      <c r="F29" s="23">
        <f t="shared" si="0"/>
        <v>10040.206571172785</v>
      </c>
      <c r="G29" s="24">
        <f t="shared" si="1"/>
        <v>10542.216899731426</v>
      </c>
      <c r="H29" s="25">
        <f t="shared" si="2"/>
        <v>-502.01032855864105</v>
      </c>
      <c r="I29" s="33"/>
      <c r="L29" s="5"/>
    </row>
    <row r="30" spans="2:14" ht="51">
      <c r="B30" s="28" t="s">
        <v>87</v>
      </c>
      <c r="C30" s="20" t="s">
        <v>137</v>
      </c>
      <c r="D30" s="21" t="s">
        <v>98</v>
      </c>
      <c r="E30" s="29">
        <v>1.18</v>
      </c>
      <c r="F30" s="23">
        <f t="shared" si="0"/>
        <v>35901.344709042074</v>
      </c>
      <c r="G30" s="24">
        <f t="shared" si="1"/>
        <v>37696.411944494183</v>
      </c>
      <c r="H30" s="25">
        <f t="shared" si="2"/>
        <v>-1795.0672354521084</v>
      </c>
      <c r="I30" s="33"/>
    </row>
    <row r="31" spans="2:14" ht="213.75" customHeight="1">
      <c r="B31" s="28" t="s">
        <v>121</v>
      </c>
      <c r="C31" s="20" t="s">
        <v>100</v>
      </c>
      <c r="D31" s="21" t="s">
        <v>98</v>
      </c>
      <c r="E31" s="29">
        <v>5.61</v>
      </c>
      <c r="F31" s="23">
        <f t="shared" si="0"/>
        <v>170683.51170993736</v>
      </c>
      <c r="G31" s="24">
        <f t="shared" si="1"/>
        <v>179217.68729543424</v>
      </c>
      <c r="H31" s="25">
        <f t="shared" si="2"/>
        <v>-8534.1755854968796</v>
      </c>
      <c r="I31" s="31"/>
      <c r="J31" s="2"/>
      <c r="K31" s="2"/>
      <c r="L31" s="4"/>
      <c r="M31" s="186"/>
      <c r="N31" s="186"/>
    </row>
    <row r="32" spans="2:14" ht="107.45" customHeight="1">
      <c r="B32" s="28" t="s">
        <v>102</v>
      </c>
      <c r="C32" s="20" t="s">
        <v>97</v>
      </c>
      <c r="D32" s="21" t="s">
        <v>98</v>
      </c>
      <c r="E32" s="29">
        <v>0.24</v>
      </c>
      <c r="F32" s="23">
        <f>$M$25/$M$26*E32</f>
        <v>7301.9684153983881</v>
      </c>
      <c r="G32" s="24">
        <f>$N$25/$N$26*E32</f>
        <v>7667.0668361683083</v>
      </c>
      <c r="H32" s="25">
        <f t="shared" si="2"/>
        <v>-365.09842076992027</v>
      </c>
      <c r="I32" s="33"/>
    </row>
    <row r="33" spans="2:14" ht="36">
      <c r="B33" s="32" t="s">
        <v>91</v>
      </c>
      <c r="C33" s="20" t="s">
        <v>97</v>
      </c>
      <c r="D33" s="21" t="s">
        <v>98</v>
      </c>
      <c r="E33" s="29">
        <v>5.08</v>
      </c>
      <c r="F33" s="23">
        <v>156899.42000000001</v>
      </c>
      <c r="G33" s="30">
        <v>284892</v>
      </c>
      <c r="H33" s="25">
        <f>F33-G33</f>
        <v>-127992.57999999999</v>
      </c>
      <c r="I33" s="33"/>
      <c r="L33" s="5"/>
    </row>
    <row r="34" spans="2:14" ht="16.5" thickBot="1">
      <c r="B34" s="62" t="s">
        <v>85</v>
      </c>
      <c r="C34" s="36" t="s">
        <v>100</v>
      </c>
      <c r="D34" s="37" t="s">
        <v>98</v>
      </c>
      <c r="E34" s="38">
        <v>1.24</v>
      </c>
      <c r="F34" s="23">
        <f>$M$25/$M$26*E34</f>
        <v>37726.836812891677</v>
      </c>
      <c r="G34" s="24">
        <f>$N$25/$N$26*E34</f>
        <v>39613.178653536263</v>
      </c>
      <c r="H34" s="25">
        <f>F34-G34</f>
        <v>-1886.3418406445853</v>
      </c>
      <c r="I34" s="33"/>
    </row>
    <row r="35" spans="2:14" ht="16.5" thickBot="1">
      <c r="B35" s="39" t="s">
        <v>89</v>
      </c>
      <c r="C35" s="40"/>
      <c r="D35" s="40"/>
      <c r="E35" s="41">
        <f>SUM(E26:E34)</f>
        <v>16.25</v>
      </c>
      <c r="F35" s="42">
        <f>SUM(F26:F34)</f>
        <v>496745.20000000007</v>
      </c>
      <c r="G35" s="43">
        <f>SUM(G26:G34)</f>
        <v>641730.06900000002</v>
      </c>
      <c r="H35" s="44">
        <f>SUM(H26:H34)</f>
        <v>-144984.86900000001</v>
      </c>
      <c r="I35" s="65"/>
    </row>
    <row r="36" spans="2:14" s="3" customFormat="1" ht="11.25" customHeight="1">
      <c r="B36" s="5"/>
      <c r="C36" s="5"/>
      <c r="D36" s="5"/>
      <c r="E36" s="14"/>
      <c r="I36" s="1"/>
      <c r="J36" s="1"/>
      <c r="K36" s="1"/>
      <c r="L36" s="1"/>
      <c r="M36" s="182"/>
      <c r="N36" s="182"/>
    </row>
    <row r="37" spans="2:14" ht="16.5" customHeight="1" thickBot="1">
      <c r="B37" s="242" t="s">
        <v>181</v>
      </c>
      <c r="C37" s="242"/>
      <c r="D37" s="242"/>
      <c r="E37" s="242"/>
      <c r="F37" s="242"/>
      <c r="G37" s="242"/>
      <c r="H37" s="242"/>
      <c r="I37" s="45"/>
      <c r="J37" s="45"/>
    </row>
    <row r="38" spans="2:14" ht="42.75" customHeight="1" thickBot="1">
      <c r="B38" s="181" t="s">
        <v>182</v>
      </c>
      <c r="C38" s="228" t="s">
        <v>101</v>
      </c>
      <c r="D38" s="229"/>
      <c r="E38" s="238" t="s">
        <v>9</v>
      </c>
      <c r="F38" s="239"/>
      <c r="G38" s="238" t="s">
        <v>10</v>
      </c>
      <c r="H38" s="245"/>
      <c r="I38" s="158"/>
      <c r="J38" s="159"/>
      <c r="K38" s="46"/>
      <c r="L38" s="47"/>
      <c r="M38" s="187"/>
      <c r="N38" s="187"/>
    </row>
    <row r="39" spans="2:14">
      <c r="B39" s="151" t="s">
        <v>11</v>
      </c>
      <c r="C39" s="230">
        <f>E39+G39</f>
        <v>4984200.0599999996</v>
      </c>
      <c r="D39" s="231"/>
      <c r="E39" s="230">
        <f>F26+F27+F28+F29+F30+F31+F32+F34+E18</f>
        <v>3561326.34</v>
      </c>
      <c r="F39" s="231"/>
      <c r="G39" s="230">
        <f>F33+G18</f>
        <v>1422873.72</v>
      </c>
      <c r="H39" s="246"/>
      <c r="I39" s="160"/>
      <c r="J39" s="161"/>
      <c r="K39" s="49"/>
      <c r="L39" s="49"/>
      <c r="M39" s="188"/>
    </row>
    <row r="40" spans="2:14">
      <c r="B40" s="152" t="s">
        <v>12</v>
      </c>
      <c r="C40" s="232">
        <f>E40+G40</f>
        <v>4788939.04</v>
      </c>
      <c r="D40" s="233"/>
      <c r="E40" s="232">
        <f>E19+350537.09</f>
        <v>3417617.48</v>
      </c>
      <c r="F40" s="233"/>
      <c r="G40" s="232">
        <f>G19+162018.67</f>
        <v>1371321.5599999998</v>
      </c>
      <c r="H40" s="243"/>
      <c r="I40" s="160"/>
      <c r="J40" s="162"/>
      <c r="K40" s="51"/>
      <c r="L40" s="49"/>
      <c r="M40" s="188"/>
    </row>
    <row r="41" spans="2:14" ht="15.75" customHeight="1" thickBot="1">
      <c r="B41" s="153" t="s">
        <v>88</v>
      </c>
      <c r="C41" s="234">
        <f>E41+G41</f>
        <v>4876204.4702000003</v>
      </c>
      <c r="D41" s="235"/>
      <c r="E41" s="234">
        <f>G26+G27+G28+G29+G30+G31+G32+G34+E20</f>
        <v>3621214.4702000003</v>
      </c>
      <c r="F41" s="235"/>
      <c r="G41" s="234">
        <f>G33+G20</f>
        <v>1254990</v>
      </c>
      <c r="H41" s="244"/>
      <c r="I41" s="160"/>
      <c r="J41" s="48"/>
      <c r="K41" s="33"/>
      <c r="L41" s="33"/>
    </row>
    <row r="42" spans="2:14" ht="26.25" customHeight="1" thickBot="1">
      <c r="B42" s="154" t="s">
        <v>147</v>
      </c>
      <c r="C42" s="236">
        <f>E42+G42</f>
        <v>-87265.430200000526</v>
      </c>
      <c r="D42" s="237"/>
      <c r="E42" s="247">
        <f>E40-E41</f>
        <v>-203596.99020000035</v>
      </c>
      <c r="F42" s="248"/>
      <c r="G42" s="253">
        <f>G40-G41</f>
        <v>116331.55999999982</v>
      </c>
      <c r="H42" s="254"/>
      <c r="I42" s="163"/>
      <c r="J42" s="148"/>
      <c r="K42" s="33"/>
      <c r="L42" s="33"/>
    </row>
    <row r="43" spans="2:14" s="2" customFormat="1" ht="12" customHeight="1">
      <c r="B43" s="76"/>
      <c r="C43" s="146"/>
      <c r="D43" s="146"/>
      <c r="E43" s="147"/>
      <c r="F43" s="148"/>
      <c r="G43" s="148"/>
      <c r="H43" s="148"/>
      <c r="I43" s="52"/>
      <c r="M43" s="186"/>
      <c r="N43" s="186"/>
    </row>
    <row r="44" spans="2:14" s="2" customFormat="1" ht="12.75" customHeight="1">
      <c r="B44" s="52" t="s">
        <v>77</v>
      </c>
      <c r="C44" s="225" t="s">
        <v>150</v>
      </c>
      <c r="D44" s="225"/>
      <c r="E44" s="225"/>
      <c r="F44" s="251" t="s">
        <v>174</v>
      </c>
      <c r="G44" s="251"/>
      <c r="H44" s="52"/>
      <c r="I44" s="52"/>
      <c r="M44" s="186"/>
      <c r="N44" s="186"/>
    </row>
    <row r="45" spans="2:14" s="2" customFormat="1" ht="12" customHeight="1">
      <c r="B45" s="52"/>
      <c r="C45" s="53"/>
      <c r="D45" s="53"/>
      <c r="E45" s="211"/>
      <c r="F45" s="252"/>
      <c r="G45" s="252"/>
      <c r="H45" s="52"/>
      <c r="I45" s="52"/>
      <c r="M45" s="186"/>
      <c r="N45" s="186"/>
    </row>
    <row r="46" spans="2:14" ht="13.5" customHeight="1">
      <c r="B46" s="52" t="s">
        <v>78</v>
      </c>
      <c r="C46" s="225" t="s">
        <v>150</v>
      </c>
      <c r="D46" s="225"/>
      <c r="E46" s="225"/>
      <c r="F46" s="251" t="s">
        <v>93</v>
      </c>
      <c r="G46" s="251"/>
      <c r="H46" s="52"/>
      <c r="I46" s="52"/>
    </row>
    <row r="47" spans="2:14" ht="9.75" customHeight="1">
      <c r="B47" s="52"/>
      <c r="C47" s="53"/>
      <c r="D47" s="53"/>
      <c r="E47" s="211"/>
      <c r="F47" s="251"/>
      <c r="G47" s="251"/>
      <c r="H47" s="52"/>
      <c r="I47" s="52"/>
    </row>
    <row r="48" spans="2:14" ht="17.25" customHeight="1">
      <c r="B48" s="52" t="s">
        <v>79</v>
      </c>
      <c r="C48" s="225" t="s">
        <v>151</v>
      </c>
      <c r="D48" s="225"/>
      <c r="E48" s="225"/>
      <c r="F48" s="251" t="s">
        <v>175</v>
      </c>
      <c r="G48" s="251"/>
      <c r="H48" s="52"/>
      <c r="I48" s="6"/>
    </row>
    <row r="49" spans="2:9" ht="10.5" customHeight="1">
      <c r="B49" s="54"/>
      <c r="C49" s="55"/>
      <c r="D49" s="55"/>
      <c r="E49" s="211"/>
      <c r="F49" s="197"/>
      <c r="G49" s="54"/>
      <c r="H49" s="56"/>
      <c r="I49" s="52"/>
    </row>
    <row r="50" spans="2:9" ht="14.25" customHeight="1">
      <c r="B50" s="52" t="s">
        <v>80</v>
      </c>
      <c r="C50" s="225" t="s">
        <v>151</v>
      </c>
      <c r="D50" s="225"/>
      <c r="E50" s="225"/>
      <c r="F50" s="251" t="s">
        <v>175</v>
      </c>
      <c r="G50" s="251"/>
      <c r="H50" s="52"/>
      <c r="I50" s="3"/>
    </row>
    <row r="51" spans="2:9" ht="12" customHeight="1">
      <c r="C51" s="1"/>
      <c r="D51" s="1"/>
      <c r="E51" s="211"/>
      <c r="F51" s="250"/>
      <c r="G51" s="250"/>
      <c r="H51" s="3"/>
    </row>
    <row r="52" spans="2:9">
      <c r="C52" s="1"/>
      <c r="D52" s="1"/>
      <c r="E52" s="14"/>
      <c r="F52" s="3"/>
      <c r="G52" s="3"/>
      <c r="H52" s="3"/>
    </row>
  </sheetData>
  <mergeCells count="58">
    <mergeCell ref="D8:E8"/>
    <mergeCell ref="G39:H39"/>
    <mergeCell ref="E38:F38"/>
    <mergeCell ref="F44:G44"/>
    <mergeCell ref="C18:D18"/>
    <mergeCell ref="E18:F18"/>
    <mergeCell ref="G18:H18"/>
    <mergeCell ref="C19:D19"/>
    <mergeCell ref="E19:F19"/>
    <mergeCell ref="G19:H19"/>
    <mergeCell ref="C20:D20"/>
    <mergeCell ref="E20:F20"/>
    <mergeCell ref="G20:H20"/>
    <mergeCell ref="C21:D21"/>
    <mergeCell ref="E21:F21"/>
    <mergeCell ref="G21:H21"/>
    <mergeCell ref="B1:H1"/>
    <mergeCell ref="E24:E25"/>
    <mergeCell ref="F24:G24"/>
    <mergeCell ref="H24:H25"/>
    <mergeCell ref="B2:H2"/>
    <mergeCell ref="B3:H3"/>
    <mergeCell ref="B4:H4"/>
    <mergeCell ref="B23:H23"/>
    <mergeCell ref="B24:B25"/>
    <mergeCell ref="C24:C25"/>
    <mergeCell ref="D24:D25"/>
    <mergeCell ref="B5:H6"/>
    <mergeCell ref="B16:H16"/>
    <mergeCell ref="C17:D17"/>
    <mergeCell ref="E17:F17"/>
    <mergeCell ref="G17:H17"/>
    <mergeCell ref="M23:M24"/>
    <mergeCell ref="N23:N24"/>
    <mergeCell ref="C48:E48"/>
    <mergeCell ref="F48:G48"/>
    <mergeCell ref="F45:G45"/>
    <mergeCell ref="G42:H42"/>
    <mergeCell ref="G38:H38"/>
    <mergeCell ref="C44:E44"/>
    <mergeCell ref="C46:E46"/>
    <mergeCell ref="G41:H41"/>
    <mergeCell ref="E39:F39"/>
    <mergeCell ref="B37:H37"/>
    <mergeCell ref="C50:E50"/>
    <mergeCell ref="F51:G51"/>
    <mergeCell ref="C38:D38"/>
    <mergeCell ref="C39:D39"/>
    <mergeCell ref="C40:D40"/>
    <mergeCell ref="C41:D41"/>
    <mergeCell ref="C42:D42"/>
    <mergeCell ref="E40:F40"/>
    <mergeCell ref="G40:H40"/>
    <mergeCell ref="F50:G50"/>
    <mergeCell ref="E41:F41"/>
    <mergeCell ref="E42:F42"/>
    <mergeCell ref="F47:G47"/>
    <mergeCell ref="F46:G46"/>
  </mergeCells>
  <printOptions horizontalCentered="1"/>
  <pageMargins left="0.19685039370078741" right="0.19685039370078741" top="0.15748031496062992" bottom="0.23622047244094491" header="0.15748031496062992" footer="0.23622047244094491"/>
  <pageSetup paperSize="9" scale="47" orientation="portrait" horizontalDpi="180" verticalDpi="180" r:id="rId1"/>
</worksheet>
</file>

<file path=xl/worksheets/sheet20.xml><?xml version="1.0" encoding="utf-8"?>
<worksheet xmlns="http://schemas.openxmlformats.org/spreadsheetml/2006/main" xmlns:r="http://schemas.openxmlformats.org/officeDocument/2006/relationships">
  <sheetPr codeName="Лист20">
    <tabColor rgb="FF0070C0"/>
    <pageSetUpPr fitToPage="1"/>
  </sheetPr>
  <dimension ref="A1:N57"/>
  <sheetViews>
    <sheetView zoomScale="110" zoomScaleNormal="110" workbookViewId="0">
      <selection activeCell="E24" sqref="E24:E25"/>
    </sheetView>
  </sheetViews>
  <sheetFormatPr defaultColWidth="9.140625" defaultRowHeight="15.75" outlineLevelRow="1"/>
  <cols>
    <col min="1" max="1" width="2.85546875" style="1" customWidth="1"/>
    <col min="2" max="2" width="56" style="1" customWidth="1"/>
    <col min="3" max="3" width="14.28515625" style="128" customWidth="1"/>
    <col min="4" max="4" width="9.140625" style="3" customWidth="1"/>
    <col min="5" max="5" width="9.42578125" style="3" customWidth="1"/>
    <col min="6" max="6" width="10.140625" style="1" customWidth="1"/>
    <col min="7" max="7" width="10.42578125" style="1" customWidth="1"/>
    <col min="8" max="8" width="10.7109375" style="1" customWidth="1"/>
    <col min="9" max="9" width="15.5703125" style="1" customWidth="1"/>
    <col min="10" max="10" width="16.5703125" style="1" customWidth="1"/>
    <col min="11" max="12" width="9.140625" style="1"/>
    <col min="13" max="13" width="16.5703125" style="182" customWidth="1"/>
    <col min="14" max="14" width="16" style="182" customWidth="1"/>
    <col min="15" max="16384" width="9.140625" style="1"/>
  </cols>
  <sheetData>
    <row r="1" spans="1:9">
      <c r="B1" s="255" t="s">
        <v>119</v>
      </c>
      <c r="C1" s="255"/>
      <c r="D1" s="255"/>
      <c r="E1" s="255"/>
      <c r="F1" s="255"/>
      <c r="G1" s="255"/>
      <c r="H1" s="255"/>
    </row>
    <row r="2" spans="1:9">
      <c r="B2" s="255" t="s">
        <v>120</v>
      </c>
      <c r="C2" s="255"/>
      <c r="D2" s="255"/>
      <c r="E2" s="255"/>
      <c r="F2" s="255"/>
      <c r="G2" s="255"/>
      <c r="H2" s="255"/>
    </row>
    <row r="3" spans="1:9">
      <c r="B3" s="255" t="s">
        <v>170</v>
      </c>
      <c r="C3" s="255"/>
      <c r="D3" s="255"/>
      <c r="E3" s="255"/>
      <c r="F3" s="255"/>
      <c r="G3" s="255"/>
      <c r="H3" s="255"/>
    </row>
    <row r="4" spans="1:9">
      <c r="B4" s="255" t="s">
        <v>183</v>
      </c>
      <c r="C4" s="255"/>
      <c r="D4" s="255"/>
      <c r="E4" s="255"/>
      <c r="F4" s="255"/>
      <c r="G4" s="255"/>
      <c r="H4" s="255"/>
    </row>
    <row r="5" spans="1:9" ht="19.5" customHeight="1">
      <c r="A5" s="138"/>
      <c r="B5" s="256" t="s">
        <v>177</v>
      </c>
      <c r="C5" s="256"/>
      <c r="D5" s="256"/>
      <c r="E5" s="256"/>
      <c r="F5" s="256"/>
      <c r="G5" s="256"/>
      <c r="H5" s="256"/>
    </row>
    <row r="6" spans="1:9" ht="20.25" customHeight="1">
      <c r="A6" s="138"/>
      <c r="B6" s="256"/>
      <c r="C6" s="256"/>
      <c r="D6" s="256"/>
      <c r="E6" s="256"/>
      <c r="F6" s="256"/>
      <c r="G6" s="256"/>
      <c r="H6" s="256"/>
    </row>
    <row r="7" spans="1:9" ht="8.25" customHeight="1"/>
    <row r="8" spans="1:9">
      <c r="B8" s="164" t="s">
        <v>0</v>
      </c>
      <c r="C8" s="175"/>
      <c r="D8" s="263" t="s">
        <v>72</v>
      </c>
      <c r="E8" s="263"/>
    </row>
    <row r="9" spans="1:9">
      <c r="B9" s="164" t="s">
        <v>1</v>
      </c>
      <c r="C9" s="175"/>
      <c r="D9" s="203">
        <v>1969</v>
      </c>
      <c r="E9" s="203"/>
    </row>
    <row r="10" spans="1:9" hidden="1" outlineLevel="1">
      <c r="B10" s="164" t="s">
        <v>2</v>
      </c>
      <c r="C10" s="175"/>
      <c r="D10" s="203">
        <v>4</v>
      </c>
      <c r="E10" s="203"/>
    </row>
    <row r="11" spans="1:9" hidden="1" outlineLevel="1">
      <c r="B11" s="164" t="s">
        <v>3</v>
      </c>
      <c r="C11" s="175"/>
      <c r="D11" s="203">
        <v>63</v>
      </c>
      <c r="E11" s="203"/>
    </row>
    <row r="12" spans="1:9" ht="30.75" hidden="1" customHeight="1" outlineLevel="1">
      <c r="B12" s="166" t="s">
        <v>4</v>
      </c>
      <c r="C12" s="176"/>
      <c r="D12" s="203" t="s">
        <v>73</v>
      </c>
      <c r="E12" s="203"/>
    </row>
    <row r="13" spans="1:9" collapsed="1">
      <c r="B13" s="164" t="s">
        <v>5</v>
      </c>
      <c r="C13" s="175"/>
      <c r="D13" s="203" t="s">
        <v>115</v>
      </c>
      <c r="E13" s="203"/>
      <c r="I13" s="5"/>
    </row>
    <row r="14" spans="1:9" hidden="1" outlineLevel="1">
      <c r="B14" s="1" t="s">
        <v>6</v>
      </c>
      <c r="D14" s="157" t="s">
        <v>7</v>
      </c>
      <c r="E14" s="157"/>
    </row>
    <row r="15" spans="1:9" ht="30.75" hidden="1" customHeight="1" outlineLevel="1">
      <c r="B15" s="15" t="s">
        <v>8</v>
      </c>
      <c r="C15" s="129"/>
      <c r="D15" s="204" t="s">
        <v>15</v>
      </c>
      <c r="E15" s="157"/>
      <c r="I15" s="5"/>
    </row>
    <row r="16" spans="1:9" ht="16.5" collapsed="1" thickBot="1">
      <c r="B16" s="242" t="s">
        <v>176</v>
      </c>
      <c r="C16" s="242"/>
      <c r="D16" s="242"/>
      <c r="E16" s="242"/>
      <c r="F16" s="242"/>
      <c r="G16" s="242"/>
      <c r="H16" s="242"/>
      <c r="I16" s="5"/>
    </row>
    <row r="17" spans="2:14" ht="48" customHeight="1" thickBot="1">
      <c r="B17" s="181" t="s">
        <v>178</v>
      </c>
      <c r="C17" s="228" t="s">
        <v>101</v>
      </c>
      <c r="D17" s="229"/>
      <c r="E17" s="238" t="s">
        <v>9</v>
      </c>
      <c r="F17" s="239"/>
      <c r="G17" s="238" t="s">
        <v>10</v>
      </c>
      <c r="H17" s="245"/>
      <c r="I17" s="5"/>
    </row>
    <row r="18" spans="2:14">
      <c r="B18" s="151" t="s">
        <v>11</v>
      </c>
      <c r="C18" s="268">
        <v>4628190.9400000004</v>
      </c>
      <c r="D18" s="269"/>
      <c r="E18" s="230">
        <v>3281220.5300000003</v>
      </c>
      <c r="F18" s="231"/>
      <c r="G18" s="230">
        <v>1346970.4100000001</v>
      </c>
      <c r="H18" s="246"/>
      <c r="I18" s="5"/>
    </row>
    <row r="19" spans="2:14">
      <c r="B19" s="152" t="s">
        <v>12</v>
      </c>
      <c r="C19" s="232">
        <v>4173806.4799999995</v>
      </c>
      <c r="D19" s="270"/>
      <c r="E19" s="232">
        <v>2958171.8999999994</v>
      </c>
      <c r="F19" s="233"/>
      <c r="G19" s="232">
        <v>1215634.58</v>
      </c>
      <c r="H19" s="243"/>
      <c r="I19" s="5"/>
    </row>
    <row r="20" spans="2:14" ht="16.5" thickBot="1">
      <c r="B20" s="153" t="s">
        <v>88</v>
      </c>
      <c r="C20" s="271">
        <v>4414525.1782000009</v>
      </c>
      <c r="D20" s="272"/>
      <c r="E20" s="234">
        <v>3318956.1782000004</v>
      </c>
      <c r="F20" s="235"/>
      <c r="G20" s="234">
        <v>1095569</v>
      </c>
      <c r="H20" s="244"/>
      <c r="I20" s="5"/>
    </row>
    <row r="21" spans="2:14" ht="29.25" customHeight="1" thickBot="1">
      <c r="B21" s="154" t="s">
        <v>146</v>
      </c>
      <c r="C21" s="236">
        <f>E21+G21</f>
        <v>-240718.69820000092</v>
      </c>
      <c r="D21" s="237"/>
      <c r="E21" s="247">
        <f>E19-E20</f>
        <v>-360784.27820000099</v>
      </c>
      <c r="F21" s="248"/>
      <c r="G21" s="247">
        <f>G19-G20</f>
        <v>120065.58000000007</v>
      </c>
      <c r="H21" s="249"/>
      <c r="I21" s="5"/>
    </row>
    <row r="22" spans="2:14">
      <c r="B22" s="15"/>
      <c r="C22" s="129"/>
      <c r="D22" s="204"/>
      <c r="E22" s="157"/>
      <c r="I22" s="5"/>
    </row>
    <row r="23" spans="2:14" ht="30.75" customHeight="1" thickBot="1">
      <c r="B23" s="265" t="s">
        <v>179</v>
      </c>
      <c r="C23" s="265"/>
      <c r="D23" s="265"/>
      <c r="E23" s="265"/>
      <c r="F23" s="265"/>
      <c r="G23" s="265"/>
      <c r="H23" s="265"/>
      <c r="I23" s="140"/>
      <c r="J23" s="140"/>
      <c r="L23" s="5"/>
      <c r="M23" s="226" t="s">
        <v>148</v>
      </c>
      <c r="N23" s="226" t="s">
        <v>149</v>
      </c>
    </row>
    <row r="24" spans="2:14" ht="34.5" customHeight="1">
      <c r="B24" s="261" t="s">
        <v>94</v>
      </c>
      <c r="C24" s="259" t="s">
        <v>95</v>
      </c>
      <c r="D24" s="259" t="s">
        <v>116</v>
      </c>
      <c r="E24" s="266" t="s">
        <v>180</v>
      </c>
      <c r="F24" s="240" t="s">
        <v>96</v>
      </c>
      <c r="G24" s="241"/>
      <c r="H24" s="257" t="s">
        <v>122</v>
      </c>
      <c r="I24" s="141"/>
      <c r="J24" s="141"/>
      <c r="L24" s="5"/>
      <c r="M24" s="227"/>
      <c r="N24" s="227"/>
    </row>
    <row r="25" spans="2:14" ht="42" customHeight="1" thickBot="1">
      <c r="B25" s="262"/>
      <c r="C25" s="260"/>
      <c r="D25" s="260"/>
      <c r="E25" s="267"/>
      <c r="F25" s="17" t="s">
        <v>81</v>
      </c>
      <c r="G25" s="18" t="s">
        <v>82</v>
      </c>
      <c r="H25" s="258"/>
      <c r="I25" s="141"/>
      <c r="J25" s="141"/>
      <c r="M25" s="183">
        <v>324987.48</v>
      </c>
      <c r="N25" s="183">
        <f>M25*1.05</f>
        <v>341236.85399999999</v>
      </c>
    </row>
    <row r="26" spans="2:14" ht="38.25">
      <c r="B26" s="19" t="s">
        <v>86</v>
      </c>
      <c r="C26" s="20" t="s">
        <v>97</v>
      </c>
      <c r="D26" s="21" t="s">
        <v>98</v>
      </c>
      <c r="E26" s="22">
        <v>1.56</v>
      </c>
      <c r="F26" s="23">
        <f>$M$25/$M$26*E26</f>
        <v>41555.776131147548</v>
      </c>
      <c r="G26" s="24">
        <f>$N$25/$N$26*E26</f>
        <v>43633.564937704919</v>
      </c>
      <c r="H26" s="25">
        <f>F26-G26</f>
        <v>-2077.7888065573716</v>
      </c>
      <c r="I26" s="142"/>
      <c r="J26" s="142"/>
      <c r="K26" s="199"/>
      <c r="L26" s="27"/>
      <c r="M26" s="185">
        <f>E35-E33</f>
        <v>12.2</v>
      </c>
      <c r="N26" s="185">
        <f>E35-E33</f>
        <v>12.2</v>
      </c>
    </row>
    <row r="27" spans="2:14" ht="51">
      <c r="B27" s="28" t="s">
        <v>90</v>
      </c>
      <c r="C27" s="20" t="s">
        <v>97</v>
      </c>
      <c r="D27" s="21" t="s">
        <v>98</v>
      </c>
      <c r="E27" s="29">
        <v>1.69</v>
      </c>
      <c r="F27" s="23">
        <f t="shared" ref="F27:F34" si="0">$M$25/$M$26*E27</f>
        <v>45018.757475409839</v>
      </c>
      <c r="G27" s="24">
        <f t="shared" ref="G27:G31" si="1">$N$25/$N$26*E27</f>
        <v>47269.695349180329</v>
      </c>
      <c r="H27" s="25">
        <f t="shared" ref="H27:H32" si="2">F27-G27</f>
        <v>-2250.9378737704901</v>
      </c>
      <c r="I27" s="142"/>
      <c r="J27" s="142"/>
      <c r="K27" s="2"/>
      <c r="L27" s="2"/>
      <c r="M27" s="186"/>
      <c r="N27" s="186"/>
    </row>
    <row r="28" spans="2:14" ht="36">
      <c r="B28" s="32" t="s">
        <v>83</v>
      </c>
      <c r="C28" s="20" t="s">
        <v>97</v>
      </c>
      <c r="D28" s="21" t="s">
        <v>98</v>
      </c>
      <c r="E28" s="29">
        <v>0.32</v>
      </c>
      <c r="F28" s="23">
        <f t="shared" si="0"/>
        <v>8524.2617704918048</v>
      </c>
      <c r="G28" s="24">
        <f t="shared" si="1"/>
        <v>8950.4748590163927</v>
      </c>
      <c r="H28" s="25">
        <f t="shared" si="2"/>
        <v>-426.21308852458787</v>
      </c>
      <c r="I28" s="142"/>
      <c r="J28" s="142"/>
      <c r="L28" s="5"/>
    </row>
    <row r="29" spans="2:14" ht="25.5">
      <c r="B29" s="32" t="s">
        <v>84</v>
      </c>
      <c r="C29" s="34" t="s">
        <v>99</v>
      </c>
      <c r="D29" s="21" t="s">
        <v>98</v>
      </c>
      <c r="E29" s="29">
        <v>0.5</v>
      </c>
      <c r="F29" s="23">
        <f t="shared" si="0"/>
        <v>13319.159016393443</v>
      </c>
      <c r="G29" s="24">
        <f t="shared" si="1"/>
        <v>13985.116967213115</v>
      </c>
      <c r="H29" s="25">
        <f t="shared" si="2"/>
        <v>-665.95795081967117</v>
      </c>
      <c r="I29" s="142"/>
      <c r="J29" s="142"/>
      <c r="L29" s="5"/>
    </row>
    <row r="30" spans="2:14" ht="51">
      <c r="B30" s="28" t="s">
        <v>87</v>
      </c>
      <c r="C30" s="20" t="s">
        <v>137</v>
      </c>
      <c r="D30" s="21" t="s">
        <v>98</v>
      </c>
      <c r="E30" s="29">
        <v>1.48</v>
      </c>
      <c r="F30" s="23">
        <f t="shared" si="0"/>
        <v>39424.710688524588</v>
      </c>
      <c r="G30" s="24">
        <f t="shared" si="1"/>
        <v>41395.946222950821</v>
      </c>
      <c r="H30" s="25">
        <f t="shared" si="2"/>
        <v>-1971.2355344262323</v>
      </c>
      <c r="I30" s="142"/>
      <c r="J30" s="142"/>
    </row>
    <row r="31" spans="2:14" ht="213.75" customHeight="1">
      <c r="B31" s="28" t="s">
        <v>121</v>
      </c>
      <c r="C31" s="20" t="s">
        <v>100</v>
      </c>
      <c r="D31" s="21" t="s">
        <v>98</v>
      </c>
      <c r="E31" s="29">
        <v>5.61</v>
      </c>
      <c r="F31" s="23">
        <f t="shared" si="0"/>
        <v>149440.96416393443</v>
      </c>
      <c r="G31" s="24">
        <f t="shared" si="1"/>
        <v>156913.01237213117</v>
      </c>
      <c r="H31" s="25">
        <f t="shared" si="2"/>
        <v>-7472.0482081967348</v>
      </c>
      <c r="I31" s="142"/>
      <c r="J31" s="142"/>
      <c r="K31" s="2"/>
      <c r="L31" s="4"/>
      <c r="M31" s="186"/>
      <c r="N31" s="186"/>
    </row>
    <row r="32" spans="2:14" ht="102">
      <c r="B32" s="28" t="s">
        <v>102</v>
      </c>
      <c r="C32" s="20" t="s">
        <v>97</v>
      </c>
      <c r="D32" s="21" t="s">
        <v>98</v>
      </c>
      <c r="E32" s="29">
        <v>0.24</v>
      </c>
      <c r="F32" s="23">
        <f t="shared" si="0"/>
        <v>6393.1963278688527</v>
      </c>
      <c r="G32" s="24">
        <f t="shared" ref="G32" si="3">$N$25/$N$26*E32</f>
        <v>6712.8561442622949</v>
      </c>
      <c r="H32" s="25">
        <f t="shared" si="2"/>
        <v>-319.65981639344227</v>
      </c>
      <c r="I32" s="142"/>
      <c r="J32" s="142"/>
    </row>
    <row r="33" spans="2:14" ht="36">
      <c r="B33" s="32" t="s">
        <v>91</v>
      </c>
      <c r="C33" s="20" t="s">
        <v>97</v>
      </c>
      <c r="D33" s="21" t="s">
        <v>98</v>
      </c>
      <c r="E33" s="29">
        <v>4.5199999999999996</v>
      </c>
      <c r="F33" s="23">
        <v>142401.72</v>
      </c>
      <c r="G33" s="30">
        <v>86039</v>
      </c>
      <c r="H33" s="25">
        <f>F33-G33</f>
        <v>56362.720000000001</v>
      </c>
      <c r="I33" s="142"/>
      <c r="J33" s="142"/>
      <c r="L33" s="5"/>
    </row>
    <row r="34" spans="2:14" ht="16.5" thickBot="1">
      <c r="B34" s="62" t="s">
        <v>85</v>
      </c>
      <c r="C34" s="36" t="s">
        <v>100</v>
      </c>
      <c r="D34" s="37" t="s">
        <v>98</v>
      </c>
      <c r="E34" s="38">
        <v>0.8</v>
      </c>
      <c r="F34" s="23">
        <f t="shared" si="0"/>
        <v>21310.65442622951</v>
      </c>
      <c r="G34" s="24">
        <f t="shared" ref="G34" si="4">$N$25/$N$26*E34</f>
        <v>22376.187147540986</v>
      </c>
      <c r="H34" s="25">
        <f>F34-G34</f>
        <v>-1065.5327213114761</v>
      </c>
      <c r="I34" s="142"/>
      <c r="J34" s="142"/>
    </row>
    <row r="35" spans="2:14" ht="16.5" thickBot="1">
      <c r="B35" s="39" t="s">
        <v>89</v>
      </c>
      <c r="C35" s="40"/>
      <c r="D35" s="40"/>
      <c r="E35" s="41">
        <f>SUM(E26:E34)</f>
        <v>16.72</v>
      </c>
      <c r="F35" s="42">
        <f>SUM(F26:F34)</f>
        <v>467389.20000000007</v>
      </c>
      <c r="G35" s="43">
        <f>SUM(G26:G34)</f>
        <v>427275.85399999999</v>
      </c>
      <c r="H35" s="44">
        <f>SUM(H26:H34)</f>
        <v>40113.34599999999</v>
      </c>
      <c r="I35" s="143"/>
      <c r="J35" s="143"/>
    </row>
    <row r="36" spans="2:14">
      <c r="B36" s="5"/>
      <c r="C36" s="5"/>
      <c r="D36" s="5"/>
      <c r="E36" s="14"/>
      <c r="F36" s="14"/>
      <c r="G36" s="14"/>
      <c r="H36" s="3"/>
      <c r="I36" s="3"/>
      <c r="J36" s="3"/>
    </row>
    <row r="37" spans="2:14" ht="16.5" customHeight="1" thickBot="1">
      <c r="B37" s="242" t="s">
        <v>181</v>
      </c>
      <c r="C37" s="242"/>
      <c r="D37" s="242"/>
      <c r="E37" s="242"/>
      <c r="F37" s="242"/>
      <c r="G37" s="242"/>
      <c r="H37" s="242"/>
      <c r="I37" s="144"/>
      <c r="J37" s="144"/>
    </row>
    <row r="38" spans="2:14" ht="40.5" customHeight="1" thickBot="1">
      <c r="B38" s="181" t="s">
        <v>182</v>
      </c>
      <c r="C38" s="228" t="s">
        <v>101</v>
      </c>
      <c r="D38" s="229"/>
      <c r="E38" s="238" t="s">
        <v>9</v>
      </c>
      <c r="F38" s="239"/>
      <c r="G38" s="238" t="s">
        <v>10</v>
      </c>
      <c r="H38" s="245"/>
      <c r="I38" s="158"/>
      <c r="J38" s="159"/>
      <c r="K38" s="46"/>
      <c r="L38" s="47"/>
      <c r="M38" s="187"/>
      <c r="N38" s="187"/>
    </row>
    <row r="39" spans="2:14">
      <c r="B39" s="151" t="s">
        <v>11</v>
      </c>
      <c r="C39" s="230">
        <f>E39+G39</f>
        <v>5095580.1400000006</v>
      </c>
      <c r="D39" s="231"/>
      <c r="E39" s="230">
        <f>F26+F27+F28+F29+F30+F31+F32+F34+E18</f>
        <v>3606208.0100000002</v>
      </c>
      <c r="F39" s="231"/>
      <c r="G39" s="230">
        <f>F33+G18</f>
        <v>1489372.1300000001</v>
      </c>
      <c r="H39" s="246"/>
      <c r="I39" s="160"/>
      <c r="J39" s="161"/>
      <c r="K39" s="49"/>
      <c r="L39" s="49"/>
      <c r="M39" s="188"/>
    </row>
    <row r="40" spans="2:14">
      <c r="B40" s="152" t="s">
        <v>12</v>
      </c>
      <c r="C40" s="232">
        <f>E40+G40</f>
        <v>4686912.1399999987</v>
      </c>
      <c r="D40" s="233"/>
      <c r="E40" s="232">
        <f>E19+356608.97</f>
        <v>3314780.8699999992</v>
      </c>
      <c r="F40" s="233"/>
      <c r="G40" s="232">
        <f>G19+156496.69</f>
        <v>1372131.27</v>
      </c>
      <c r="H40" s="243"/>
      <c r="I40" s="160"/>
      <c r="J40" s="162"/>
      <c r="K40" s="51"/>
      <c r="L40" s="49"/>
      <c r="M40" s="188"/>
    </row>
    <row r="41" spans="2:14" ht="16.5" thickBot="1">
      <c r="B41" s="153" t="s">
        <v>88</v>
      </c>
      <c r="C41" s="234">
        <f>E41+G41</f>
        <v>4841801.0322000002</v>
      </c>
      <c r="D41" s="235"/>
      <c r="E41" s="234">
        <f>G26+G27+G28+G29+G30+G31+G32+G34+E20</f>
        <v>3660193.0322000002</v>
      </c>
      <c r="F41" s="235"/>
      <c r="G41" s="234">
        <f>G33+G20</f>
        <v>1181608</v>
      </c>
      <c r="H41" s="244"/>
      <c r="I41" s="160"/>
      <c r="J41" s="48"/>
      <c r="K41" s="33"/>
      <c r="L41" s="33"/>
    </row>
    <row r="42" spans="2:14" ht="29.25" customHeight="1" thickBot="1">
      <c r="B42" s="154" t="s">
        <v>147</v>
      </c>
      <c r="C42" s="236">
        <f>E42+G42</f>
        <v>-154888.89220000105</v>
      </c>
      <c r="D42" s="237"/>
      <c r="E42" s="247">
        <f>E40-E41</f>
        <v>-345412.16220000107</v>
      </c>
      <c r="F42" s="248"/>
      <c r="G42" s="247">
        <f>G40-G41</f>
        <v>190523.27000000002</v>
      </c>
      <c r="H42" s="249"/>
      <c r="I42" s="163"/>
      <c r="J42" s="148"/>
      <c r="K42" s="33"/>
      <c r="L42" s="33"/>
    </row>
    <row r="43" spans="2:14" ht="15.75" customHeight="1">
      <c r="B43" s="76"/>
      <c r="C43" s="146"/>
      <c r="D43" s="146"/>
      <c r="E43" s="148"/>
      <c r="F43" s="148"/>
      <c r="G43" s="148"/>
      <c r="H43" s="148"/>
      <c r="I43" s="201"/>
      <c r="J43" s="201"/>
      <c r="K43" s="2"/>
      <c r="L43" s="2"/>
      <c r="M43" s="186"/>
      <c r="N43" s="186"/>
    </row>
    <row r="44" spans="2:14" ht="18" customHeight="1">
      <c r="B44" s="52" t="s">
        <v>77</v>
      </c>
      <c r="C44" s="225" t="s">
        <v>150</v>
      </c>
      <c r="D44" s="225"/>
      <c r="E44" s="225"/>
      <c r="F44" s="251" t="s">
        <v>174</v>
      </c>
      <c r="G44" s="251"/>
      <c r="H44" s="52"/>
      <c r="I44" s="202"/>
      <c r="J44" s="202"/>
      <c r="K44" s="2"/>
      <c r="L44" s="2"/>
      <c r="M44" s="186"/>
      <c r="N44" s="186"/>
    </row>
    <row r="45" spans="2:14" ht="9.75" customHeight="1">
      <c r="B45" s="52"/>
      <c r="C45" s="53"/>
      <c r="D45" s="53"/>
      <c r="E45" s="211"/>
      <c r="F45" s="252"/>
      <c r="G45" s="252"/>
      <c r="H45" s="52"/>
      <c r="I45" s="201"/>
      <c r="J45" s="201"/>
      <c r="K45" s="2"/>
      <c r="L45" s="2"/>
      <c r="M45" s="186"/>
      <c r="N45" s="186"/>
    </row>
    <row r="46" spans="2:14" ht="15" customHeight="1">
      <c r="B46" s="52" t="s">
        <v>78</v>
      </c>
      <c r="C46" s="225" t="s">
        <v>150</v>
      </c>
      <c r="D46" s="225"/>
      <c r="E46" s="225"/>
      <c r="F46" s="251" t="s">
        <v>93</v>
      </c>
      <c r="G46" s="251"/>
      <c r="H46" s="52"/>
      <c r="I46" s="201"/>
      <c r="J46" s="201"/>
    </row>
    <row r="47" spans="2:14" ht="9.75" customHeight="1">
      <c r="B47" s="52"/>
      <c r="C47" s="53"/>
      <c r="D47" s="53"/>
      <c r="E47" s="211"/>
      <c r="F47" s="251"/>
      <c r="G47" s="251"/>
      <c r="H47" s="52"/>
      <c r="I47" s="201"/>
      <c r="J47" s="201"/>
    </row>
    <row r="48" spans="2:14" ht="15.75" customHeight="1">
      <c r="B48" s="52" t="s">
        <v>79</v>
      </c>
      <c r="C48" s="225" t="s">
        <v>151</v>
      </c>
      <c r="D48" s="225"/>
      <c r="E48" s="225"/>
      <c r="F48" s="251" t="s">
        <v>175</v>
      </c>
      <c r="G48" s="251"/>
      <c r="H48" s="52"/>
      <c r="I48" s="56"/>
      <c r="J48" s="56"/>
    </row>
    <row r="49" spans="2:8" ht="9" customHeight="1">
      <c r="B49" s="54"/>
      <c r="C49" s="55"/>
      <c r="D49" s="55"/>
      <c r="E49" s="211"/>
      <c r="F49" s="197"/>
      <c r="G49" s="54"/>
      <c r="H49" s="56"/>
    </row>
    <row r="50" spans="2:8" ht="14.25" customHeight="1">
      <c r="B50" s="52" t="s">
        <v>80</v>
      </c>
      <c r="C50" s="225" t="s">
        <v>151</v>
      </c>
      <c r="D50" s="225"/>
      <c r="E50" s="225"/>
      <c r="F50" s="251" t="s">
        <v>175</v>
      </c>
      <c r="G50" s="251"/>
      <c r="H50" s="52"/>
    </row>
    <row r="51" spans="2:8">
      <c r="C51" s="14"/>
      <c r="E51" s="200"/>
    </row>
    <row r="52" spans="2:8">
      <c r="C52" s="14"/>
    </row>
    <row r="53" spans="2:8">
      <c r="C53" s="14"/>
    </row>
    <row r="54" spans="2:8">
      <c r="C54" s="14"/>
    </row>
    <row r="55" spans="2:8">
      <c r="C55" s="14"/>
    </row>
    <row r="56" spans="2:8">
      <c r="C56" s="14"/>
    </row>
    <row r="57" spans="2:8">
      <c r="C57" s="14"/>
    </row>
  </sheetData>
  <mergeCells count="57">
    <mergeCell ref="B1:H1"/>
    <mergeCell ref="E42:F42"/>
    <mergeCell ref="B5:H6"/>
    <mergeCell ref="G42:H42"/>
    <mergeCell ref="F44:G44"/>
    <mergeCell ref="G39:H39"/>
    <mergeCell ref="E41:F41"/>
    <mergeCell ref="F24:G24"/>
    <mergeCell ref="B16:H16"/>
    <mergeCell ref="C17:D17"/>
    <mergeCell ref="E39:F39"/>
    <mergeCell ref="E40:F40"/>
    <mergeCell ref="E17:F17"/>
    <mergeCell ref="G17:H17"/>
    <mergeCell ref="C18:D18"/>
    <mergeCell ref="E18:F18"/>
    <mergeCell ref="G41:H41"/>
    <mergeCell ref="B2:H2"/>
    <mergeCell ref="B3:H3"/>
    <mergeCell ref="B4:H4"/>
    <mergeCell ref="G40:H40"/>
    <mergeCell ref="D8:E8"/>
    <mergeCell ref="B37:H37"/>
    <mergeCell ref="E38:F38"/>
    <mergeCell ref="G38:H38"/>
    <mergeCell ref="B23:H23"/>
    <mergeCell ref="B24:B25"/>
    <mergeCell ref="C24:C25"/>
    <mergeCell ref="D24:D25"/>
    <mergeCell ref="E24:E25"/>
    <mergeCell ref="H24:H25"/>
    <mergeCell ref="G18:H18"/>
    <mergeCell ref="C19:D19"/>
    <mergeCell ref="E19:F19"/>
    <mergeCell ref="G19:H19"/>
    <mergeCell ref="C20:D20"/>
    <mergeCell ref="E20:F20"/>
    <mergeCell ref="G20:H20"/>
    <mergeCell ref="C21:D21"/>
    <mergeCell ref="E21:F21"/>
    <mergeCell ref="G21:H21"/>
    <mergeCell ref="M23:M24"/>
    <mergeCell ref="N23:N24"/>
    <mergeCell ref="C38:D38"/>
    <mergeCell ref="C39:D39"/>
    <mergeCell ref="C40:D40"/>
    <mergeCell ref="C41:D41"/>
    <mergeCell ref="C42:D42"/>
    <mergeCell ref="C44:E44"/>
    <mergeCell ref="C46:E46"/>
    <mergeCell ref="C48:E48"/>
    <mergeCell ref="F48:G48"/>
    <mergeCell ref="C50:E50"/>
    <mergeCell ref="F50:G50"/>
    <mergeCell ref="F46:G46"/>
    <mergeCell ref="F47:G47"/>
    <mergeCell ref="F45:G45"/>
  </mergeCells>
  <printOptions horizontalCentered="1"/>
  <pageMargins left="0.23622047244094491" right="0.19685039370078741" top="0.16" bottom="0.23622047244094491" header="0.16" footer="0.24"/>
  <pageSetup paperSize="9" scale="48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>
  <sheetPr codeName="Лист21">
    <tabColor rgb="FF0070C0"/>
    <pageSetUpPr fitToPage="1"/>
  </sheetPr>
  <dimension ref="A1:O51"/>
  <sheetViews>
    <sheetView tabSelected="1" zoomScale="110" zoomScaleNormal="110" workbookViewId="0">
      <selection activeCell="E22" sqref="E22"/>
    </sheetView>
  </sheetViews>
  <sheetFormatPr defaultColWidth="9.140625" defaultRowHeight="15.75" outlineLevelRow="1"/>
  <cols>
    <col min="1" max="1" width="2.85546875" style="1" customWidth="1"/>
    <col min="2" max="2" width="56.42578125" style="1" customWidth="1"/>
    <col min="3" max="3" width="15.140625" style="14" customWidth="1"/>
    <col min="4" max="4" width="8.42578125" style="3" customWidth="1"/>
    <col min="5" max="5" width="10.5703125" style="3" customWidth="1"/>
    <col min="6" max="6" width="9.7109375" style="1" customWidth="1"/>
    <col min="7" max="7" width="10.28515625" style="1" customWidth="1"/>
    <col min="8" max="8" width="10.85546875" style="1" customWidth="1"/>
    <col min="9" max="9" width="15.28515625" style="1" customWidth="1"/>
    <col min="10" max="10" width="16.85546875" style="1" customWidth="1"/>
    <col min="11" max="11" width="9.140625" style="182"/>
    <col min="12" max="12" width="11.42578125" style="182" customWidth="1"/>
    <col min="13" max="13" width="14" style="182" customWidth="1"/>
    <col min="14" max="14" width="16" style="182" customWidth="1"/>
    <col min="15" max="15" width="9.140625" style="182"/>
    <col min="16" max="16384" width="9.140625" style="1"/>
  </cols>
  <sheetData>
    <row r="1" spans="1:9">
      <c r="B1" s="255" t="s">
        <v>119</v>
      </c>
      <c r="C1" s="255"/>
      <c r="D1" s="255"/>
      <c r="E1" s="255"/>
      <c r="F1" s="255"/>
      <c r="G1" s="255"/>
      <c r="H1" s="255"/>
    </row>
    <row r="2" spans="1:9">
      <c r="B2" s="255" t="s">
        <v>120</v>
      </c>
      <c r="C2" s="255"/>
      <c r="D2" s="255"/>
      <c r="E2" s="255"/>
      <c r="F2" s="255"/>
      <c r="G2" s="255"/>
      <c r="H2" s="255"/>
    </row>
    <row r="3" spans="1:9">
      <c r="B3" s="255" t="s">
        <v>171</v>
      </c>
      <c r="C3" s="255"/>
      <c r="D3" s="255"/>
      <c r="E3" s="255"/>
      <c r="F3" s="255"/>
      <c r="G3" s="255"/>
      <c r="H3" s="255"/>
    </row>
    <row r="4" spans="1:9">
      <c r="B4" s="255" t="s">
        <v>183</v>
      </c>
      <c r="C4" s="255"/>
      <c r="D4" s="255"/>
      <c r="E4" s="255"/>
      <c r="F4" s="255"/>
      <c r="G4" s="255"/>
      <c r="H4" s="255"/>
    </row>
    <row r="5" spans="1:9" ht="19.5" customHeight="1">
      <c r="A5" s="138"/>
      <c r="B5" s="256" t="s">
        <v>177</v>
      </c>
      <c r="C5" s="256"/>
      <c r="D5" s="256"/>
      <c r="E5" s="256"/>
      <c r="F5" s="256"/>
      <c r="G5" s="256"/>
      <c r="H5" s="256"/>
    </row>
    <row r="6" spans="1:9" ht="20.25" customHeight="1">
      <c r="A6" s="138"/>
      <c r="B6" s="256"/>
      <c r="C6" s="256"/>
      <c r="D6" s="256"/>
      <c r="E6" s="256"/>
      <c r="F6" s="256"/>
      <c r="G6" s="256"/>
      <c r="H6" s="256"/>
    </row>
    <row r="7" spans="1:9" ht="8.25" customHeight="1"/>
    <row r="8" spans="1:9">
      <c r="B8" s="164" t="s">
        <v>0</v>
      </c>
      <c r="C8" s="165"/>
      <c r="D8" s="263" t="s">
        <v>74</v>
      </c>
      <c r="E8" s="263"/>
      <c r="F8" s="164"/>
    </row>
    <row r="9" spans="1:9">
      <c r="B9" s="164" t="s">
        <v>1</v>
      </c>
      <c r="C9" s="165"/>
      <c r="D9" s="203">
        <v>1967</v>
      </c>
      <c r="E9" s="203"/>
      <c r="F9" s="164"/>
    </row>
    <row r="10" spans="1:9" hidden="1" outlineLevel="1">
      <c r="B10" s="164" t="s">
        <v>2</v>
      </c>
      <c r="C10" s="165"/>
      <c r="D10" s="203">
        <v>4</v>
      </c>
      <c r="E10" s="203"/>
      <c r="F10" s="164"/>
    </row>
    <row r="11" spans="1:9" hidden="1" outlineLevel="1">
      <c r="B11" s="164" t="s">
        <v>3</v>
      </c>
      <c r="C11" s="165"/>
      <c r="D11" s="203">
        <v>60</v>
      </c>
      <c r="E11" s="203"/>
      <c r="F11" s="164"/>
    </row>
    <row r="12" spans="1:9" ht="30.75" hidden="1" customHeight="1" outlineLevel="1">
      <c r="B12" s="166" t="s">
        <v>4</v>
      </c>
      <c r="C12" s="167"/>
      <c r="D12" s="203" t="s">
        <v>75</v>
      </c>
      <c r="E12" s="203"/>
      <c r="F12" s="164"/>
    </row>
    <row r="13" spans="1:9" collapsed="1">
      <c r="B13" s="164" t="s">
        <v>5</v>
      </c>
      <c r="C13" s="165"/>
      <c r="D13" s="203" t="s">
        <v>130</v>
      </c>
      <c r="E13" s="203"/>
      <c r="F13" s="164"/>
      <c r="I13" s="5"/>
    </row>
    <row r="14" spans="1:9">
      <c r="B14" s="164" t="s">
        <v>6</v>
      </c>
      <c r="C14" s="165"/>
      <c r="D14" s="203" t="s">
        <v>132</v>
      </c>
      <c r="E14" s="203"/>
      <c r="F14" s="164"/>
    </row>
    <row r="15" spans="1:9" ht="30.75" hidden="1" customHeight="1" outlineLevel="1">
      <c r="B15" s="15" t="s">
        <v>8</v>
      </c>
      <c r="C15" s="16"/>
      <c r="D15" s="204" t="s">
        <v>76</v>
      </c>
      <c r="E15" s="157"/>
      <c r="I15" s="5"/>
    </row>
    <row r="16" spans="1:9" ht="16.5" collapsed="1" thickBot="1">
      <c r="B16" s="242" t="s">
        <v>176</v>
      </c>
      <c r="C16" s="242"/>
      <c r="D16" s="242"/>
      <c r="E16" s="242"/>
      <c r="F16" s="242"/>
      <c r="G16" s="242"/>
      <c r="H16" s="242"/>
      <c r="I16" s="5"/>
    </row>
    <row r="17" spans="2:15" ht="45.75" customHeight="1" thickBot="1">
      <c r="B17" s="181" t="s">
        <v>178</v>
      </c>
      <c r="C17" s="228" t="s">
        <v>101</v>
      </c>
      <c r="D17" s="229"/>
      <c r="E17" s="238" t="s">
        <v>9</v>
      </c>
      <c r="F17" s="239"/>
      <c r="G17" s="238" t="s">
        <v>10</v>
      </c>
      <c r="H17" s="245"/>
      <c r="I17" s="5"/>
    </row>
    <row r="18" spans="2:15">
      <c r="B18" s="151" t="s">
        <v>11</v>
      </c>
      <c r="C18" s="268">
        <v>4334926.9708813559</v>
      </c>
      <c r="D18" s="269"/>
      <c r="E18" s="230">
        <v>2986779.3770707073</v>
      </c>
      <c r="F18" s="231"/>
      <c r="G18" s="230">
        <v>1348147.5938106489</v>
      </c>
      <c r="H18" s="246"/>
      <c r="I18" s="5"/>
    </row>
    <row r="19" spans="2:15">
      <c r="B19" s="152" t="s">
        <v>12</v>
      </c>
      <c r="C19" s="232">
        <v>3800305.8531864407</v>
      </c>
      <c r="D19" s="270"/>
      <c r="E19" s="232">
        <v>2622807.1270508477</v>
      </c>
      <c r="F19" s="233"/>
      <c r="G19" s="232">
        <v>1177498.7261355931</v>
      </c>
      <c r="H19" s="243"/>
      <c r="I19" s="5"/>
    </row>
    <row r="20" spans="2:15" ht="16.5" thickBot="1">
      <c r="B20" s="153" t="s">
        <v>88</v>
      </c>
      <c r="C20" s="271">
        <v>4341758.9280000003</v>
      </c>
      <c r="D20" s="272"/>
      <c r="E20" s="234">
        <v>3003748.9280000003</v>
      </c>
      <c r="F20" s="235"/>
      <c r="G20" s="234">
        <v>1338010</v>
      </c>
      <c r="H20" s="244"/>
      <c r="I20" s="5"/>
    </row>
    <row r="21" spans="2:15" ht="33" customHeight="1" thickBot="1">
      <c r="B21" s="154" t="s">
        <v>146</v>
      </c>
      <c r="C21" s="236">
        <f>E21+G21</f>
        <v>-541453.07481355942</v>
      </c>
      <c r="D21" s="237"/>
      <c r="E21" s="247">
        <f>E19-E20</f>
        <v>-380941.80094915256</v>
      </c>
      <c r="F21" s="248"/>
      <c r="G21" s="247">
        <f>G19-G20</f>
        <v>-160511.27386440686</v>
      </c>
      <c r="H21" s="249"/>
      <c r="I21" s="5"/>
    </row>
    <row r="22" spans="2:15">
      <c r="B22" s="15"/>
      <c r="C22" s="16"/>
      <c r="D22" s="204"/>
      <c r="E22" s="157"/>
      <c r="I22" s="5"/>
    </row>
    <row r="23" spans="2:15" ht="35.25" customHeight="1" thickBot="1">
      <c r="B23" s="265" t="s">
        <v>179</v>
      </c>
      <c r="C23" s="265"/>
      <c r="D23" s="265"/>
      <c r="E23" s="265"/>
      <c r="F23" s="265"/>
      <c r="G23" s="265"/>
      <c r="H23" s="265"/>
      <c r="I23" s="140"/>
      <c r="J23" s="140"/>
      <c r="L23" s="212"/>
      <c r="M23" s="226" t="s">
        <v>148</v>
      </c>
      <c r="N23" s="226" t="s">
        <v>149</v>
      </c>
    </row>
    <row r="24" spans="2:15" ht="31.5" customHeight="1">
      <c r="B24" s="261" t="s">
        <v>94</v>
      </c>
      <c r="C24" s="259" t="s">
        <v>95</v>
      </c>
      <c r="D24" s="259" t="s">
        <v>116</v>
      </c>
      <c r="E24" s="266" t="s">
        <v>180</v>
      </c>
      <c r="F24" s="240" t="s">
        <v>96</v>
      </c>
      <c r="G24" s="241"/>
      <c r="H24" s="257" t="s">
        <v>122</v>
      </c>
      <c r="I24" s="141"/>
      <c r="J24" s="141"/>
      <c r="L24" s="212"/>
      <c r="M24" s="227"/>
      <c r="N24" s="227"/>
    </row>
    <row r="25" spans="2:15" ht="63.75" customHeight="1" thickBot="1">
      <c r="B25" s="262"/>
      <c r="C25" s="260"/>
      <c r="D25" s="260"/>
      <c r="E25" s="267"/>
      <c r="F25" s="17" t="s">
        <v>81</v>
      </c>
      <c r="G25" s="18" t="s">
        <v>82</v>
      </c>
      <c r="H25" s="258"/>
      <c r="I25" s="141"/>
      <c r="J25" s="141"/>
      <c r="M25" s="185">
        <v>265322.36</v>
      </c>
      <c r="N25" s="183">
        <f>M25*1.05</f>
        <v>278588.478</v>
      </c>
    </row>
    <row r="26" spans="2:15" ht="40.5" customHeight="1">
      <c r="B26" s="19" t="s">
        <v>86</v>
      </c>
      <c r="C26" s="20" t="s">
        <v>97</v>
      </c>
      <c r="D26" s="21" t="s">
        <v>98</v>
      </c>
      <c r="E26" s="22">
        <v>1.06</v>
      </c>
      <c r="F26" s="23">
        <f>($M$25+$M$27)/$M$26*E26</f>
        <v>30321.049648241205</v>
      </c>
      <c r="G26" s="24">
        <f>($N$25+$N$27)/$N$26*E26</f>
        <v>31837.102130653271</v>
      </c>
      <c r="H26" s="25">
        <f>F26-G26</f>
        <v>-1516.0524824120657</v>
      </c>
      <c r="I26" s="142"/>
      <c r="J26" s="142"/>
      <c r="K26" s="213"/>
      <c r="L26" s="214"/>
      <c r="M26" s="185">
        <f>E35-E33</f>
        <v>9.9499999999999993</v>
      </c>
      <c r="N26" s="185">
        <f>E35-E33</f>
        <v>9.9499999999999993</v>
      </c>
      <c r="O26" s="185">
        <f>E35-E33</f>
        <v>9.9499999999999993</v>
      </c>
    </row>
    <row r="27" spans="2:15" ht="51">
      <c r="B27" s="28" t="s">
        <v>90</v>
      </c>
      <c r="C27" s="20" t="s">
        <v>97</v>
      </c>
      <c r="D27" s="21" t="s">
        <v>98</v>
      </c>
      <c r="E27" s="29">
        <v>1.19</v>
      </c>
      <c r="F27" s="23">
        <f t="shared" ref="F27:F34" si="0">($M$25+$M$27)/$M$26*E27</f>
        <v>34039.668944723613</v>
      </c>
      <c r="G27" s="24">
        <f t="shared" ref="G27:G32" si="1">($N$25+$N$27)/$N$26*E27</f>
        <v>35741.652391959804</v>
      </c>
      <c r="H27" s="25">
        <f t="shared" ref="H27:H32" si="2">F27-G27</f>
        <v>-1701.9834472361908</v>
      </c>
      <c r="I27" s="142"/>
      <c r="J27" s="142"/>
      <c r="K27" s="186"/>
      <c r="L27" s="189" t="s">
        <v>133</v>
      </c>
      <c r="M27" s="188">
        <f>M28/E35*M26</f>
        <v>19295.04</v>
      </c>
      <c r="N27" s="188">
        <f>N28/E35*N26</f>
        <v>20259.791999999998</v>
      </c>
      <c r="O27" s="188">
        <f>O28/E35*O26</f>
        <v>13879.070740740741</v>
      </c>
    </row>
    <row r="28" spans="2:15" ht="30" customHeight="1">
      <c r="B28" s="32" t="s">
        <v>83</v>
      </c>
      <c r="C28" s="20" t="s">
        <v>97</v>
      </c>
      <c r="D28" s="21" t="s">
        <v>98</v>
      </c>
      <c r="E28" s="29">
        <v>0.32</v>
      </c>
      <c r="F28" s="23">
        <f t="shared" si="0"/>
        <v>9153.5244221105513</v>
      </c>
      <c r="G28" s="24">
        <f t="shared" si="1"/>
        <v>9611.2006432160815</v>
      </c>
      <c r="H28" s="25">
        <f t="shared" si="2"/>
        <v>-457.6762211055302</v>
      </c>
      <c r="I28" s="142"/>
      <c r="J28" s="142"/>
      <c r="L28" s="189" t="s">
        <v>131</v>
      </c>
      <c r="M28" s="189">
        <f>25917.42+2879.7</f>
        <v>28797.119999999999</v>
      </c>
      <c r="N28" s="189">
        <f>M28*1.05</f>
        <v>30236.975999999999</v>
      </c>
      <c r="O28" s="189">
        <f>16543.02+4170.97</f>
        <v>20713.990000000002</v>
      </c>
    </row>
    <row r="29" spans="2:15" ht="25.5">
      <c r="B29" s="32" t="s">
        <v>84</v>
      </c>
      <c r="C29" s="34" t="s">
        <v>99</v>
      </c>
      <c r="D29" s="21" t="s">
        <v>98</v>
      </c>
      <c r="E29" s="29">
        <v>0.24</v>
      </c>
      <c r="F29" s="23">
        <f t="shared" si="0"/>
        <v>6865.1433165829139</v>
      </c>
      <c r="G29" s="24">
        <f t="shared" si="1"/>
        <v>7208.4004824120611</v>
      </c>
      <c r="H29" s="25">
        <f t="shared" si="2"/>
        <v>-343.2571658291472</v>
      </c>
      <c r="I29" s="142"/>
      <c r="J29" s="142"/>
      <c r="L29" s="188" t="s">
        <v>134</v>
      </c>
      <c r="M29" s="188">
        <f>M28/E35*E33</f>
        <v>9502.0800000000017</v>
      </c>
      <c r="N29" s="188"/>
      <c r="O29" s="188">
        <f>O28/E35*E33</f>
        <v>6834.9192592592608</v>
      </c>
    </row>
    <row r="30" spans="2:15" ht="51">
      <c r="B30" s="28" t="s">
        <v>87</v>
      </c>
      <c r="C30" s="20" t="s">
        <v>137</v>
      </c>
      <c r="D30" s="21" t="s">
        <v>98</v>
      </c>
      <c r="E30" s="29">
        <v>1.18</v>
      </c>
      <c r="F30" s="23">
        <f t="shared" si="0"/>
        <v>33753.621306532659</v>
      </c>
      <c r="G30" s="24">
        <f t="shared" si="1"/>
        <v>35441.302371859296</v>
      </c>
      <c r="H30" s="25">
        <f t="shared" si="2"/>
        <v>-1687.6810653266366</v>
      </c>
      <c r="I30" s="142"/>
      <c r="J30" s="142"/>
    </row>
    <row r="31" spans="2:15" ht="216.75" customHeight="1">
      <c r="B31" s="28" t="s">
        <v>121</v>
      </c>
      <c r="C31" s="20" t="s">
        <v>100</v>
      </c>
      <c r="D31" s="21" t="s">
        <v>98</v>
      </c>
      <c r="E31" s="29">
        <v>5.61</v>
      </c>
      <c r="F31" s="23">
        <f t="shared" si="0"/>
        <v>160472.72502512563</v>
      </c>
      <c r="G31" s="24">
        <f t="shared" si="1"/>
        <v>168496.36127638194</v>
      </c>
      <c r="H31" s="25">
        <f t="shared" si="2"/>
        <v>-8023.6362512563064</v>
      </c>
      <c r="I31" s="142"/>
      <c r="J31" s="142"/>
      <c r="K31" s="186"/>
      <c r="L31" s="215"/>
      <c r="M31" s="186"/>
      <c r="N31" s="186"/>
    </row>
    <row r="32" spans="2:15" ht="108.75" customHeight="1">
      <c r="B32" s="28" t="s">
        <v>102</v>
      </c>
      <c r="C32" s="20" t="s">
        <v>97</v>
      </c>
      <c r="D32" s="21" t="s">
        <v>98</v>
      </c>
      <c r="E32" s="29">
        <v>0.24</v>
      </c>
      <c r="F32" s="23">
        <f t="shared" si="0"/>
        <v>6865.1433165829139</v>
      </c>
      <c r="G32" s="24">
        <f t="shared" si="1"/>
        <v>7208.4004824120611</v>
      </c>
      <c r="H32" s="25">
        <f t="shared" si="2"/>
        <v>-343.2571658291472</v>
      </c>
      <c r="I32" s="142"/>
      <c r="J32" s="142"/>
    </row>
    <row r="33" spans="2:14" ht="27.75" customHeight="1">
      <c r="B33" s="32" t="s">
        <v>91</v>
      </c>
      <c r="C33" s="20" t="s">
        <v>97</v>
      </c>
      <c r="D33" s="21" t="s">
        <v>98</v>
      </c>
      <c r="E33" s="29">
        <v>4.9000000000000004</v>
      </c>
      <c r="F33" s="23">
        <f>130661.26+M29</f>
        <v>140163.34</v>
      </c>
      <c r="G33" s="30">
        <v>58143</v>
      </c>
      <c r="H33" s="25">
        <f>F33-G33</f>
        <v>82020.34</v>
      </c>
      <c r="I33" s="142"/>
      <c r="J33" s="142"/>
      <c r="L33" s="212"/>
    </row>
    <row r="34" spans="2:14" ht="16.5" thickBot="1">
      <c r="B34" s="62" t="s">
        <v>85</v>
      </c>
      <c r="C34" s="36" t="s">
        <v>100</v>
      </c>
      <c r="D34" s="37" t="s">
        <v>98</v>
      </c>
      <c r="E34" s="38">
        <v>0.11</v>
      </c>
      <c r="F34" s="23">
        <f t="shared" si="0"/>
        <v>3146.5240201005022</v>
      </c>
      <c r="G34" s="24">
        <f t="shared" ref="G34" si="3">($N$25+$N$27)/$N$26*E34</f>
        <v>3303.8502211055279</v>
      </c>
      <c r="H34" s="25">
        <f>F34-G34</f>
        <v>-157.32620100502572</v>
      </c>
      <c r="I34" s="142"/>
      <c r="J34" s="142"/>
    </row>
    <row r="35" spans="2:14" ht="16.5" thickBot="1">
      <c r="B35" s="39" t="s">
        <v>89</v>
      </c>
      <c r="C35" s="40"/>
      <c r="D35" s="40"/>
      <c r="E35" s="41">
        <f>SUM(E26:E34)</f>
        <v>14.85</v>
      </c>
      <c r="F35" s="42">
        <f>SUM(F26:F34)</f>
        <v>424780.73999999987</v>
      </c>
      <c r="G35" s="43">
        <f>SUM(G26:G34)</f>
        <v>356991.27</v>
      </c>
      <c r="H35" s="44">
        <f>SUM(H26:H34)</f>
        <v>67789.469999999943</v>
      </c>
      <c r="I35" s="143"/>
      <c r="J35" s="143"/>
    </row>
    <row r="36" spans="2:14">
      <c r="B36" s="5"/>
      <c r="C36" s="5"/>
      <c r="D36" s="5"/>
      <c r="E36" s="14"/>
      <c r="F36" s="14"/>
      <c r="G36" s="14"/>
      <c r="H36" s="3"/>
      <c r="I36" s="3"/>
      <c r="J36" s="3"/>
    </row>
    <row r="37" spans="2:14" ht="16.5" customHeight="1" thickBot="1">
      <c r="B37" s="242" t="s">
        <v>181</v>
      </c>
      <c r="C37" s="242"/>
      <c r="D37" s="242"/>
      <c r="E37" s="242"/>
      <c r="F37" s="242"/>
      <c r="G37" s="242"/>
      <c r="H37" s="242"/>
      <c r="I37" s="144"/>
      <c r="J37" s="144"/>
    </row>
    <row r="38" spans="2:14" ht="44.25" customHeight="1" thickBot="1">
      <c r="B38" s="181" t="s">
        <v>182</v>
      </c>
      <c r="C38" s="228" t="s">
        <v>101</v>
      </c>
      <c r="D38" s="229"/>
      <c r="E38" s="238" t="s">
        <v>9</v>
      </c>
      <c r="F38" s="239"/>
      <c r="G38" s="238" t="s">
        <v>10</v>
      </c>
      <c r="H38" s="245"/>
      <c r="I38" s="158"/>
      <c r="J38" s="159"/>
      <c r="K38" s="216"/>
      <c r="L38" s="217"/>
      <c r="M38" s="187"/>
      <c r="N38" s="187"/>
    </row>
    <row r="39" spans="2:14">
      <c r="B39" s="151" t="s">
        <v>11</v>
      </c>
      <c r="C39" s="230">
        <f>E39+G39</f>
        <v>4759707.7108813561</v>
      </c>
      <c r="D39" s="231"/>
      <c r="E39" s="230">
        <f>F26+F27+F28+F29+F30+F31+F32+F34+E18</f>
        <v>3271396.7770707072</v>
      </c>
      <c r="F39" s="231"/>
      <c r="G39" s="230">
        <f>F33+G18</f>
        <v>1488310.933810649</v>
      </c>
      <c r="H39" s="246"/>
      <c r="I39" s="160"/>
      <c r="J39" s="161"/>
      <c r="K39" s="191"/>
      <c r="L39" s="191"/>
      <c r="M39" s="188"/>
    </row>
    <row r="40" spans="2:14">
      <c r="B40" s="152" t="s">
        <v>12</v>
      </c>
      <c r="C40" s="232">
        <f>E40+G40</f>
        <v>4210123.9431864414</v>
      </c>
      <c r="D40" s="233"/>
      <c r="E40" s="232">
        <f>E19+O27+260712.85</f>
        <v>2897399.0477915886</v>
      </c>
      <c r="F40" s="233"/>
      <c r="G40" s="232">
        <f>G19+O29+128391.25</f>
        <v>1312724.8953948524</v>
      </c>
      <c r="H40" s="243"/>
      <c r="I40" s="160"/>
      <c r="J40" s="162"/>
      <c r="K40" s="218"/>
      <c r="L40" s="191"/>
      <c r="M40" s="188"/>
    </row>
    <row r="41" spans="2:14" ht="16.5" thickBot="1">
      <c r="B41" s="153" t="s">
        <v>88</v>
      </c>
      <c r="C41" s="234">
        <f>E41+G41</f>
        <v>4698750.1980000008</v>
      </c>
      <c r="D41" s="235"/>
      <c r="E41" s="234">
        <f>G26+G27+G28+G29+G30+G31+G32+G34+E20</f>
        <v>3302597.1980000003</v>
      </c>
      <c r="F41" s="235"/>
      <c r="G41" s="234">
        <f>G33+G20</f>
        <v>1396153</v>
      </c>
      <c r="H41" s="244"/>
      <c r="I41" s="160"/>
      <c r="J41" s="48"/>
      <c r="K41" s="219"/>
      <c r="L41" s="219"/>
    </row>
    <row r="42" spans="2:14" ht="29.25" customHeight="1" thickBot="1">
      <c r="B42" s="154" t="s">
        <v>147</v>
      </c>
      <c r="C42" s="236">
        <f>E42+G42</f>
        <v>-488626.25481355935</v>
      </c>
      <c r="D42" s="237"/>
      <c r="E42" s="247">
        <f>E40-E41</f>
        <v>-405198.15020841174</v>
      </c>
      <c r="F42" s="248"/>
      <c r="G42" s="247">
        <f>G40-G41</f>
        <v>-83428.104605147615</v>
      </c>
      <c r="H42" s="249"/>
      <c r="I42" s="163"/>
      <c r="J42" s="148"/>
      <c r="K42" s="219"/>
      <c r="L42" s="219"/>
    </row>
    <row r="43" spans="2:14" ht="18" customHeight="1">
      <c r="B43" s="76"/>
      <c r="C43" s="146"/>
      <c r="D43" s="146"/>
      <c r="E43" s="148"/>
      <c r="F43" s="148"/>
      <c r="G43" s="148"/>
      <c r="H43" s="148"/>
      <c r="I43" s="201"/>
      <c r="J43" s="201"/>
      <c r="K43" s="186"/>
      <c r="L43" s="186"/>
      <c r="M43" s="186"/>
      <c r="N43" s="186"/>
    </row>
    <row r="44" spans="2:14" ht="15" customHeight="1">
      <c r="B44" s="52" t="s">
        <v>77</v>
      </c>
      <c r="C44" s="225" t="s">
        <v>150</v>
      </c>
      <c r="D44" s="225"/>
      <c r="E44" s="225"/>
      <c r="F44" s="251" t="s">
        <v>174</v>
      </c>
      <c r="G44" s="251"/>
      <c r="H44" s="52"/>
      <c r="I44" s="202"/>
      <c r="J44" s="202"/>
      <c r="K44" s="186"/>
      <c r="L44" s="186"/>
      <c r="M44" s="186"/>
      <c r="N44" s="186"/>
    </row>
    <row r="45" spans="2:14" ht="11.25" customHeight="1">
      <c r="B45" s="52"/>
      <c r="C45" s="53"/>
      <c r="D45" s="53"/>
      <c r="E45" s="211"/>
      <c r="F45" s="252"/>
      <c r="G45" s="252"/>
      <c r="H45" s="52"/>
      <c r="I45" s="201"/>
      <c r="J45" s="201"/>
      <c r="K45" s="186"/>
      <c r="L45" s="186"/>
      <c r="M45" s="186"/>
      <c r="N45" s="186"/>
    </row>
    <row r="46" spans="2:14" ht="14.25" customHeight="1">
      <c r="B46" s="52" t="s">
        <v>78</v>
      </c>
      <c r="C46" s="225" t="s">
        <v>150</v>
      </c>
      <c r="D46" s="225"/>
      <c r="E46" s="225"/>
      <c r="F46" s="251" t="s">
        <v>93</v>
      </c>
      <c r="G46" s="251"/>
      <c r="H46" s="52"/>
      <c r="I46" s="201"/>
      <c r="J46" s="201"/>
    </row>
    <row r="47" spans="2:14" ht="9.75" customHeight="1">
      <c r="B47" s="52"/>
      <c r="C47" s="53"/>
      <c r="D47" s="53"/>
      <c r="E47" s="211"/>
      <c r="F47" s="251"/>
      <c r="G47" s="251"/>
      <c r="H47" s="52"/>
      <c r="I47" s="201"/>
      <c r="J47" s="201"/>
    </row>
    <row r="48" spans="2:14" ht="13.5" customHeight="1">
      <c r="B48" s="52" t="s">
        <v>79</v>
      </c>
      <c r="C48" s="225" t="s">
        <v>151</v>
      </c>
      <c r="D48" s="225"/>
      <c r="E48" s="225"/>
      <c r="F48" s="251" t="s">
        <v>175</v>
      </c>
      <c r="G48" s="251"/>
      <c r="H48" s="52"/>
      <c r="I48" s="56"/>
      <c r="J48" s="56"/>
    </row>
    <row r="49" spans="2:8" ht="9" customHeight="1">
      <c r="B49" s="54"/>
      <c r="C49" s="55"/>
      <c r="D49" s="55"/>
      <c r="E49" s="211"/>
      <c r="F49" s="197"/>
      <c r="G49" s="54"/>
      <c r="H49" s="56"/>
    </row>
    <row r="50" spans="2:8" ht="14.25" customHeight="1">
      <c r="B50" s="52" t="s">
        <v>80</v>
      </c>
      <c r="C50" s="225" t="s">
        <v>151</v>
      </c>
      <c r="D50" s="225"/>
      <c r="E50" s="225"/>
      <c r="F50" s="251" t="s">
        <v>175</v>
      </c>
      <c r="G50" s="251"/>
      <c r="H50" s="52"/>
    </row>
    <row r="51" spans="2:8">
      <c r="E51" s="200"/>
    </row>
  </sheetData>
  <mergeCells count="57">
    <mergeCell ref="B2:H2"/>
    <mergeCell ref="B3:H3"/>
    <mergeCell ref="B4:H4"/>
    <mergeCell ref="B1:H1"/>
    <mergeCell ref="G41:H41"/>
    <mergeCell ref="B37:H37"/>
    <mergeCell ref="D8:E8"/>
    <mergeCell ref="B23:H23"/>
    <mergeCell ref="B24:B25"/>
    <mergeCell ref="C24:C25"/>
    <mergeCell ref="B5:H6"/>
    <mergeCell ref="F24:G24"/>
    <mergeCell ref="H24:H25"/>
    <mergeCell ref="D24:D25"/>
    <mergeCell ref="E24:E25"/>
    <mergeCell ref="B16:H16"/>
    <mergeCell ref="F44:G44"/>
    <mergeCell ref="E41:F41"/>
    <mergeCell ref="E38:F38"/>
    <mergeCell ref="G38:H38"/>
    <mergeCell ref="E39:F39"/>
    <mergeCell ref="G39:H39"/>
    <mergeCell ref="G40:H40"/>
    <mergeCell ref="E40:F40"/>
    <mergeCell ref="C44:E44"/>
    <mergeCell ref="G42:H42"/>
    <mergeCell ref="C38:D38"/>
    <mergeCell ref="C42:D42"/>
    <mergeCell ref="C17:D17"/>
    <mergeCell ref="E17:F17"/>
    <mergeCell ref="G17:H17"/>
    <mergeCell ref="C18:D18"/>
    <mergeCell ref="E18:F18"/>
    <mergeCell ref="G18:H18"/>
    <mergeCell ref="N23:N24"/>
    <mergeCell ref="C19:D19"/>
    <mergeCell ref="E19:F19"/>
    <mergeCell ref="G19:H19"/>
    <mergeCell ref="C20:D20"/>
    <mergeCell ref="E20:F20"/>
    <mergeCell ref="G20:H20"/>
    <mergeCell ref="C50:E50"/>
    <mergeCell ref="C21:D21"/>
    <mergeCell ref="E21:F21"/>
    <mergeCell ref="G21:H21"/>
    <mergeCell ref="M23:M24"/>
    <mergeCell ref="E42:F42"/>
    <mergeCell ref="F50:G50"/>
    <mergeCell ref="F46:G46"/>
    <mergeCell ref="F47:G47"/>
    <mergeCell ref="C46:E46"/>
    <mergeCell ref="C48:E48"/>
    <mergeCell ref="F48:G48"/>
    <mergeCell ref="F45:G45"/>
    <mergeCell ref="C39:D39"/>
    <mergeCell ref="C40:D40"/>
    <mergeCell ref="C41:D41"/>
  </mergeCells>
  <printOptions horizontalCentered="1"/>
  <pageMargins left="0.19685039370078741" right="0.19685039370078741" top="0.15748031496062992" bottom="0.15748031496062992" header="0.15748031496062992" footer="0.23622047244094491"/>
  <pageSetup paperSize="9" scale="4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>
    <tabColor rgb="FF0070C0"/>
    <pageSetUpPr fitToPage="1"/>
  </sheetPr>
  <dimension ref="A1:N53"/>
  <sheetViews>
    <sheetView zoomScale="110" zoomScaleNormal="110" workbookViewId="0">
      <selection activeCell="B22" sqref="B22"/>
    </sheetView>
  </sheetViews>
  <sheetFormatPr defaultColWidth="9.140625" defaultRowHeight="15.75" outlineLevelRow="1"/>
  <cols>
    <col min="1" max="1" width="2.85546875" style="1" customWidth="1"/>
    <col min="2" max="2" width="55.85546875" style="1" customWidth="1"/>
    <col min="3" max="3" width="15.140625" style="14" customWidth="1"/>
    <col min="4" max="4" width="8.85546875" style="3" customWidth="1"/>
    <col min="5" max="5" width="9.85546875" style="3" customWidth="1"/>
    <col min="6" max="6" width="9.85546875" style="1" customWidth="1"/>
    <col min="7" max="7" width="10.28515625" style="1" customWidth="1"/>
    <col min="8" max="8" width="10.5703125" style="1" customWidth="1"/>
    <col min="9" max="9" width="14.7109375" style="1" customWidth="1"/>
    <col min="10" max="10" width="14" style="1" customWidth="1"/>
    <col min="11" max="12" width="9.140625" style="1"/>
    <col min="13" max="13" width="20.7109375" style="182" customWidth="1"/>
    <col min="14" max="14" width="24.5703125" style="182" customWidth="1"/>
    <col min="15" max="16384" width="9.140625" style="1"/>
  </cols>
  <sheetData>
    <row r="1" spans="1:9">
      <c r="B1" s="255" t="s">
        <v>119</v>
      </c>
      <c r="C1" s="255"/>
      <c r="D1" s="255"/>
      <c r="E1" s="255"/>
      <c r="F1" s="255"/>
      <c r="G1" s="255"/>
      <c r="H1" s="255"/>
    </row>
    <row r="2" spans="1:9">
      <c r="B2" s="255" t="s">
        <v>120</v>
      </c>
      <c r="C2" s="255"/>
      <c r="D2" s="255"/>
      <c r="E2" s="255"/>
      <c r="F2" s="255"/>
      <c r="G2" s="255"/>
      <c r="H2" s="255"/>
    </row>
    <row r="3" spans="1:9">
      <c r="B3" s="255" t="s">
        <v>154</v>
      </c>
      <c r="C3" s="255"/>
      <c r="D3" s="255"/>
      <c r="E3" s="255"/>
      <c r="F3" s="255"/>
      <c r="G3" s="255"/>
      <c r="H3" s="255"/>
    </row>
    <row r="4" spans="1:9" ht="13.5" customHeight="1">
      <c r="B4" s="255" t="s">
        <v>183</v>
      </c>
      <c r="C4" s="255"/>
      <c r="D4" s="255"/>
      <c r="E4" s="255"/>
      <c r="F4" s="255"/>
      <c r="G4" s="255"/>
      <c r="H4" s="255"/>
    </row>
    <row r="5" spans="1:9" ht="15.75" customHeight="1">
      <c r="A5" s="13"/>
      <c r="B5" s="256" t="s">
        <v>177</v>
      </c>
      <c r="C5" s="256"/>
      <c r="D5" s="256"/>
      <c r="E5" s="256"/>
      <c r="F5" s="256"/>
      <c r="G5" s="256"/>
      <c r="H5" s="256"/>
    </row>
    <row r="6" spans="1:9" ht="21.75" customHeight="1">
      <c r="A6" s="13"/>
      <c r="B6" s="256"/>
      <c r="C6" s="256"/>
      <c r="D6" s="256"/>
      <c r="E6" s="256"/>
      <c r="F6" s="256"/>
      <c r="G6" s="256"/>
      <c r="H6" s="256"/>
    </row>
    <row r="7" spans="1:9" ht="9.75" customHeight="1"/>
    <row r="8" spans="1:9" ht="13.5" customHeight="1">
      <c r="B8" s="164" t="s">
        <v>0</v>
      </c>
      <c r="C8" s="165"/>
      <c r="D8" s="263" t="s">
        <v>19</v>
      </c>
      <c r="E8" s="263"/>
    </row>
    <row r="9" spans="1:9" ht="15" customHeight="1">
      <c r="B9" s="164" t="s">
        <v>1</v>
      </c>
      <c r="C9" s="165"/>
      <c r="D9" s="203">
        <v>1990</v>
      </c>
      <c r="E9" s="203"/>
    </row>
    <row r="10" spans="1:9" hidden="1" outlineLevel="1">
      <c r="B10" s="164" t="s">
        <v>2</v>
      </c>
      <c r="C10" s="165"/>
      <c r="D10" s="203">
        <v>5</v>
      </c>
      <c r="E10" s="203"/>
    </row>
    <row r="11" spans="1:9" hidden="1" outlineLevel="1">
      <c r="B11" s="164" t="s">
        <v>3</v>
      </c>
      <c r="C11" s="165"/>
      <c r="D11" s="203">
        <v>62</v>
      </c>
      <c r="E11" s="203"/>
    </row>
    <row r="12" spans="1:9" ht="30.75" hidden="1" customHeight="1" outlineLevel="1">
      <c r="B12" s="166" t="s">
        <v>4</v>
      </c>
      <c r="C12" s="167"/>
      <c r="D12" s="203" t="s">
        <v>20</v>
      </c>
      <c r="E12" s="203"/>
    </row>
    <row r="13" spans="1:9" ht="16.5" customHeight="1" collapsed="1">
      <c r="B13" s="164" t="s">
        <v>5</v>
      </c>
      <c r="C13" s="165"/>
      <c r="D13" s="203" t="s">
        <v>103</v>
      </c>
      <c r="E13" s="203"/>
      <c r="I13" s="5"/>
    </row>
    <row r="14" spans="1:9" hidden="1" outlineLevel="1">
      <c r="B14" s="1" t="s">
        <v>6</v>
      </c>
      <c r="D14" s="157" t="s">
        <v>7</v>
      </c>
      <c r="E14" s="157"/>
    </row>
    <row r="15" spans="1:9" ht="30.75" hidden="1" customHeight="1" outlineLevel="1">
      <c r="B15" s="15" t="s">
        <v>8</v>
      </c>
      <c r="C15" s="16"/>
      <c r="D15" s="204" t="s">
        <v>18</v>
      </c>
      <c r="E15" s="157"/>
      <c r="I15" s="5"/>
    </row>
    <row r="16" spans="1:9" ht="18" customHeight="1" collapsed="1" thickBot="1">
      <c r="B16" s="242" t="s">
        <v>176</v>
      </c>
      <c r="C16" s="242"/>
      <c r="D16" s="242"/>
      <c r="E16" s="242"/>
      <c r="F16" s="242"/>
      <c r="G16" s="242"/>
      <c r="H16" s="242"/>
      <c r="I16" s="5"/>
    </row>
    <row r="17" spans="2:14" ht="45" customHeight="1" thickBot="1">
      <c r="B17" s="181" t="s">
        <v>178</v>
      </c>
      <c r="C17" s="228" t="s">
        <v>101</v>
      </c>
      <c r="D17" s="229"/>
      <c r="E17" s="238" t="s">
        <v>9</v>
      </c>
      <c r="F17" s="239"/>
      <c r="G17" s="238" t="s">
        <v>10</v>
      </c>
      <c r="H17" s="245"/>
      <c r="I17" s="5"/>
    </row>
    <row r="18" spans="2:14" ht="16.5" customHeight="1">
      <c r="B18" s="151" t="s">
        <v>11</v>
      </c>
      <c r="C18" s="268">
        <v>5904618.1300000008</v>
      </c>
      <c r="D18" s="269"/>
      <c r="E18" s="230">
        <v>4006541.99</v>
      </c>
      <c r="F18" s="231"/>
      <c r="G18" s="230">
        <v>1898076.1400000001</v>
      </c>
      <c r="H18" s="246"/>
      <c r="I18" s="5"/>
    </row>
    <row r="19" spans="2:14" ht="15.75" customHeight="1">
      <c r="B19" s="152" t="s">
        <v>12</v>
      </c>
      <c r="C19" s="232">
        <v>5316767.1400000006</v>
      </c>
      <c r="D19" s="270"/>
      <c r="E19" s="232">
        <v>3605059.93</v>
      </c>
      <c r="F19" s="233"/>
      <c r="G19" s="232">
        <v>1711707.21</v>
      </c>
      <c r="H19" s="243"/>
      <c r="I19" s="5"/>
    </row>
    <row r="20" spans="2:14" ht="16.5" thickBot="1">
      <c r="B20" s="153" t="s">
        <v>88</v>
      </c>
      <c r="C20" s="271">
        <v>5942505.500288507</v>
      </c>
      <c r="D20" s="272"/>
      <c r="E20" s="234">
        <v>4092178.5002885074</v>
      </c>
      <c r="F20" s="235"/>
      <c r="G20" s="234">
        <v>1850327</v>
      </c>
      <c r="H20" s="244"/>
      <c r="I20" s="5"/>
    </row>
    <row r="21" spans="2:14" ht="32.25" customHeight="1" thickBot="1">
      <c r="B21" s="154" t="s">
        <v>146</v>
      </c>
      <c r="C21" s="236">
        <f>E21+G21</f>
        <v>-625738.36028850731</v>
      </c>
      <c r="D21" s="237"/>
      <c r="E21" s="247">
        <f>E19-E20</f>
        <v>-487118.57028850727</v>
      </c>
      <c r="F21" s="248"/>
      <c r="G21" s="247">
        <f>G19-G20</f>
        <v>-138619.79000000004</v>
      </c>
      <c r="H21" s="249"/>
      <c r="I21" s="5"/>
    </row>
    <row r="22" spans="2:14" ht="12.75" customHeight="1">
      <c r="B22" s="15"/>
      <c r="C22" s="16"/>
      <c r="D22" s="204"/>
      <c r="E22" s="157"/>
      <c r="I22" s="5"/>
    </row>
    <row r="23" spans="2:14" ht="32.25" customHeight="1" thickBot="1">
      <c r="B23" s="265" t="s">
        <v>179</v>
      </c>
      <c r="C23" s="265"/>
      <c r="D23" s="265"/>
      <c r="E23" s="265"/>
      <c r="F23" s="265"/>
      <c r="G23" s="265"/>
      <c r="H23" s="265"/>
      <c r="L23" s="5"/>
      <c r="M23" s="226" t="s">
        <v>148</v>
      </c>
      <c r="N23" s="226" t="s">
        <v>149</v>
      </c>
    </row>
    <row r="24" spans="2:14" ht="30" customHeight="1">
      <c r="B24" s="261" t="s">
        <v>94</v>
      </c>
      <c r="C24" s="259" t="s">
        <v>95</v>
      </c>
      <c r="D24" s="259" t="s">
        <v>116</v>
      </c>
      <c r="E24" s="266" t="s">
        <v>180</v>
      </c>
      <c r="F24" s="240" t="s">
        <v>96</v>
      </c>
      <c r="G24" s="241"/>
      <c r="H24" s="257" t="s">
        <v>122</v>
      </c>
      <c r="L24" s="5"/>
      <c r="M24" s="227"/>
      <c r="N24" s="227"/>
    </row>
    <row r="25" spans="2:14" s="199" customFormat="1" ht="54" customHeight="1" thickBot="1">
      <c r="B25" s="262"/>
      <c r="C25" s="260"/>
      <c r="D25" s="260"/>
      <c r="E25" s="267"/>
      <c r="F25" s="17" t="s">
        <v>81</v>
      </c>
      <c r="G25" s="18" t="s">
        <v>82</v>
      </c>
      <c r="H25" s="258"/>
      <c r="I25" s="1"/>
      <c r="J25" s="1"/>
      <c r="K25" s="1"/>
      <c r="L25" s="1"/>
      <c r="M25" s="183">
        <v>365446.09</v>
      </c>
      <c r="N25" s="183">
        <f>M25*1.05</f>
        <v>383718.39450000005</v>
      </c>
    </row>
    <row r="26" spans="2:14" s="2" customFormat="1" ht="41.25" customHeight="1">
      <c r="B26" s="19" t="s">
        <v>86</v>
      </c>
      <c r="C26" s="20" t="s">
        <v>97</v>
      </c>
      <c r="D26" s="21" t="s">
        <v>98</v>
      </c>
      <c r="E26" s="22">
        <v>1.06</v>
      </c>
      <c r="F26" s="23">
        <f t="shared" ref="F26:F31" si="0">$M$25/$M$26*E26</f>
        <v>38089.759626352024</v>
      </c>
      <c r="G26" s="24">
        <f>$N$25/$N$26*E26</f>
        <v>40471.790862686576</v>
      </c>
      <c r="H26" s="25">
        <f>F26-G26</f>
        <v>-2382.0312363345511</v>
      </c>
      <c r="I26" s="63"/>
      <c r="J26" s="199"/>
      <c r="K26" s="199"/>
      <c r="L26" s="27"/>
      <c r="M26" s="185">
        <f>E36-E33</f>
        <v>10.17</v>
      </c>
      <c r="N26" s="185">
        <v>10.050000000000001</v>
      </c>
    </row>
    <row r="27" spans="2:14" ht="51">
      <c r="B27" s="28" t="s">
        <v>90</v>
      </c>
      <c r="C27" s="20" t="s">
        <v>97</v>
      </c>
      <c r="D27" s="21" t="s">
        <v>98</v>
      </c>
      <c r="E27" s="29">
        <v>1.19</v>
      </c>
      <c r="F27" s="23">
        <f t="shared" si="0"/>
        <v>42761.145240904625</v>
      </c>
      <c r="G27" s="24">
        <f t="shared" ref="G27:G31" si="1">$N$25/$N$26*E27</f>
        <v>45435.312383582095</v>
      </c>
      <c r="H27" s="25">
        <f t="shared" ref="H27:H32" si="2">F27-G27</f>
        <v>-2674.1671426774701</v>
      </c>
      <c r="I27" s="31"/>
      <c r="J27" s="2"/>
      <c r="K27" s="2"/>
      <c r="L27" s="2"/>
      <c r="M27" s="186"/>
      <c r="N27" s="186"/>
    </row>
    <row r="28" spans="2:14" ht="29.25" customHeight="1">
      <c r="B28" s="32" t="s">
        <v>83</v>
      </c>
      <c r="C28" s="20" t="s">
        <v>97</v>
      </c>
      <c r="D28" s="21" t="s">
        <v>98</v>
      </c>
      <c r="E28" s="29">
        <v>0.32</v>
      </c>
      <c r="F28" s="23">
        <f t="shared" si="0"/>
        <v>11498.795358898724</v>
      </c>
      <c r="G28" s="24">
        <f t="shared" si="1"/>
        <v>12217.899128358211</v>
      </c>
      <c r="H28" s="25">
        <f t="shared" si="2"/>
        <v>-719.10376945948701</v>
      </c>
      <c r="I28" s="33"/>
      <c r="L28" s="5"/>
    </row>
    <row r="29" spans="2:14" ht="27.75" customHeight="1">
      <c r="B29" s="32" t="s">
        <v>84</v>
      </c>
      <c r="C29" s="34" t="s">
        <v>99</v>
      </c>
      <c r="D29" s="21" t="s">
        <v>98</v>
      </c>
      <c r="E29" s="29">
        <v>0.1</v>
      </c>
      <c r="F29" s="23">
        <f t="shared" si="0"/>
        <v>3593.3735496558511</v>
      </c>
      <c r="G29" s="24">
        <f t="shared" si="1"/>
        <v>3818.0934776119411</v>
      </c>
      <c r="H29" s="25">
        <f t="shared" si="2"/>
        <v>-224.71992795609003</v>
      </c>
      <c r="I29" s="33"/>
      <c r="L29" s="5"/>
    </row>
    <row r="30" spans="2:14" ht="51">
      <c r="B30" s="28" t="s">
        <v>87</v>
      </c>
      <c r="C30" s="20" t="s">
        <v>137</v>
      </c>
      <c r="D30" s="21" t="s">
        <v>98</v>
      </c>
      <c r="E30" s="29">
        <v>1.18</v>
      </c>
      <c r="F30" s="23">
        <f t="shared" si="0"/>
        <v>42401.807885939037</v>
      </c>
      <c r="G30" s="24">
        <f t="shared" si="1"/>
        <v>45053.503035820897</v>
      </c>
      <c r="H30" s="25">
        <f t="shared" si="2"/>
        <v>-2651.6951498818598</v>
      </c>
      <c r="I30" s="33"/>
    </row>
    <row r="31" spans="2:14" s="2" customFormat="1" ht="213" customHeight="1">
      <c r="B31" s="28" t="s">
        <v>139</v>
      </c>
      <c r="C31" s="20" t="s">
        <v>100</v>
      </c>
      <c r="D31" s="21" t="s">
        <v>98</v>
      </c>
      <c r="E31" s="29">
        <v>5.61</v>
      </c>
      <c r="F31" s="23">
        <f t="shared" si="0"/>
        <v>201588.25613569326</v>
      </c>
      <c r="G31" s="24">
        <f t="shared" si="1"/>
        <v>214195.0440940299</v>
      </c>
      <c r="H31" s="25">
        <f t="shared" si="2"/>
        <v>-12606.787958336645</v>
      </c>
      <c r="I31" s="31"/>
      <c r="L31" s="4"/>
      <c r="M31" s="186"/>
      <c r="N31" s="186"/>
    </row>
    <row r="32" spans="2:14" ht="113.45" customHeight="1">
      <c r="B32" s="28" t="s">
        <v>102</v>
      </c>
      <c r="C32" s="20" t="s">
        <v>97</v>
      </c>
      <c r="D32" s="21" t="s">
        <v>98</v>
      </c>
      <c r="E32" s="29">
        <v>0.24</v>
      </c>
      <c r="F32" s="23">
        <f>$M$25/$M$26*E32</f>
        <v>8624.0965191740415</v>
      </c>
      <c r="G32" s="24">
        <f>$N$25/$N$26*E32</f>
        <v>9163.4243462686572</v>
      </c>
      <c r="H32" s="25">
        <f t="shared" si="2"/>
        <v>-539.32782709461571</v>
      </c>
      <c r="I32" s="33"/>
    </row>
    <row r="33" spans="2:14" ht="27.75" customHeight="1">
      <c r="B33" s="32" t="s">
        <v>91</v>
      </c>
      <c r="C33" s="20" t="s">
        <v>97</v>
      </c>
      <c r="D33" s="21" t="s">
        <v>98</v>
      </c>
      <c r="E33" s="29">
        <v>6.08</v>
      </c>
      <c r="F33" s="23">
        <v>218477.11</v>
      </c>
      <c r="G33" s="30">
        <v>520342</v>
      </c>
      <c r="H33" s="25">
        <f>F33-G33</f>
        <v>-301864.89</v>
      </c>
      <c r="I33" s="33"/>
      <c r="L33" s="5"/>
    </row>
    <row r="34" spans="2:14">
      <c r="B34" s="32" t="s">
        <v>92</v>
      </c>
      <c r="C34" s="34" t="s">
        <v>99</v>
      </c>
      <c r="D34" s="21" t="s">
        <v>98</v>
      </c>
      <c r="E34" s="29">
        <v>0.27</v>
      </c>
      <c r="F34" s="23">
        <f>$M$25/$M$26*E34</f>
        <v>9702.1085840707983</v>
      </c>
      <c r="G34" s="24">
        <f>$N$25/$N$26*E34</f>
        <v>10308.852389552241</v>
      </c>
      <c r="H34" s="25">
        <f t="shared" ref="H34:H35" si="3">F34-G34</f>
        <v>-606.74380548144291</v>
      </c>
      <c r="I34" s="33"/>
      <c r="J34" s="64"/>
      <c r="K34" s="64"/>
      <c r="L34" s="5"/>
      <c r="M34" s="187"/>
    </row>
    <row r="35" spans="2:14" ht="16.5" thickBot="1">
      <c r="B35" s="62" t="s">
        <v>85</v>
      </c>
      <c r="C35" s="36" t="s">
        <v>100</v>
      </c>
      <c r="D35" s="37" t="s">
        <v>98</v>
      </c>
      <c r="E35" s="38">
        <v>0.2</v>
      </c>
      <c r="F35" s="23">
        <f>$M$25/$M$26*E35</f>
        <v>7186.7470993117022</v>
      </c>
      <c r="G35" s="24">
        <f>$N$25/$N$26*E35</f>
        <v>7636.1869552238823</v>
      </c>
      <c r="H35" s="25">
        <f t="shared" si="3"/>
        <v>-449.43985591218006</v>
      </c>
      <c r="I35" s="33"/>
    </row>
    <row r="36" spans="2:14" s="66" customFormat="1" ht="18" customHeight="1" thickBot="1">
      <c r="B36" s="39" t="s">
        <v>89</v>
      </c>
      <c r="C36" s="40"/>
      <c r="D36" s="40"/>
      <c r="E36" s="41">
        <f>SUM(E26:E35)</f>
        <v>16.25</v>
      </c>
      <c r="F36" s="42">
        <f>SUM(F26:F35)</f>
        <v>583923.20000000007</v>
      </c>
      <c r="G36" s="43">
        <f>SUM(G26:G35)</f>
        <v>908642.10667313449</v>
      </c>
      <c r="H36" s="44">
        <f>SUM(H26:H35)</f>
        <v>-324718.90667313436</v>
      </c>
      <c r="I36" s="65"/>
      <c r="J36" s="1"/>
      <c r="K36" s="1"/>
      <c r="L36" s="1"/>
      <c r="M36" s="182"/>
      <c r="N36" s="182"/>
    </row>
    <row r="37" spans="2:14" s="3" customFormat="1">
      <c r="B37" s="5"/>
      <c r="C37" s="5"/>
      <c r="D37" s="5"/>
      <c r="E37" s="14"/>
      <c r="F37" s="14"/>
      <c r="G37" s="14"/>
      <c r="I37" s="1"/>
      <c r="J37" s="1"/>
      <c r="K37" s="1"/>
      <c r="L37" s="1"/>
      <c r="M37" s="182"/>
      <c r="N37" s="182"/>
    </row>
    <row r="38" spans="2:14" ht="16.5" customHeight="1" thickBot="1">
      <c r="B38" s="242" t="s">
        <v>181</v>
      </c>
      <c r="C38" s="242"/>
      <c r="D38" s="242"/>
      <c r="E38" s="242"/>
      <c r="F38" s="242"/>
      <c r="G38" s="242"/>
      <c r="H38" s="242"/>
      <c r="I38" s="45"/>
      <c r="J38" s="45"/>
    </row>
    <row r="39" spans="2:14" ht="47.25" customHeight="1" thickBot="1">
      <c r="B39" s="181" t="s">
        <v>182</v>
      </c>
      <c r="C39" s="228" t="s">
        <v>101</v>
      </c>
      <c r="D39" s="229"/>
      <c r="E39" s="238" t="s">
        <v>9</v>
      </c>
      <c r="F39" s="239"/>
      <c r="G39" s="238" t="s">
        <v>10</v>
      </c>
      <c r="H39" s="245"/>
      <c r="I39" s="170"/>
      <c r="J39" s="159"/>
      <c r="K39" s="46"/>
      <c r="L39" s="47"/>
      <c r="M39" s="187"/>
      <c r="N39" s="187"/>
    </row>
    <row r="40" spans="2:14">
      <c r="B40" s="151" t="s">
        <v>11</v>
      </c>
      <c r="C40" s="230">
        <f>E40+G40</f>
        <v>6488541.330000001</v>
      </c>
      <c r="D40" s="231"/>
      <c r="E40" s="230">
        <f>F26+F27+F30+F31+F32+F34+F35+E18+F28+F29</f>
        <v>4371988.080000001</v>
      </c>
      <c r="F40" s="231"/>
      <c r="G40" s="230">
        <f>F33+G18</f>
        <v>2116553.25</v>
      </c>
      <c r="H40" s="246"/>
      <c r="I40" s="160"/>
      <c r="J40" s="161"/>
      <c r="K40" s="50"/>
      <c r="L40" s="49"/>
      <c r="M40" s="188"/>
    </row>
    <row r="41" spans="2:14">
      <c r="B41" s="152" t="s">
        <v>12</v>
      </c>
      <c r="C41" s="232">
        <f>E41+G41</f>
        <v>5943961.5300000003</v>
      </c>
      <c r="D41" s="233"/>
      <c r="E41" s="232">
        <f>E19+392527.2</f>
        <v>3997587.1300000004</v>
      </c>
      <c r="F41" s="233"/>
      <c r="G41" s="232">
        <f>G19+234667.19</f>
        <v>1946374.4</v>
      </c>
      <c r="H41" s="243"/>
      <c r="I41" s="160"/>
      <c r="J41" s="162"/>
      <c r="K41" s="51"/>
      <c r="L41" s="49"/>
      <c r="M41" s="188"/>
    </row>
    <row r="42" spans="2:14" s="2" customFormat="1" ht="16.5" thickBot="1">
      <c r="B42" s="153" t="s">
        <v>88</v>
      </c>
      <c r="C42" s="234">
        <f>E42+G42</f>
        <v>6851147.6069616415</v>
      </c>
      <c r="D42" s="235"/>
      <c r="E42" s="234">
        <f>G26+G27+G28+G29+G30+G31+G32+G34+G35+E20</f>
        <v>4480478.6069616415</v>
      </c>
      <c r="F42" s="235"/>
      <c r="G42" s="234">
        <f>G33+G20</f>
        <v>2370669</v>
      </c>
      <c r="H42" s="244"/>
      <c r="I42" s="160"/>
      <c r="J42" s="48"/>
      <c r="K42" s="33"/>
      <c r="L42" s="33"/>
      <c r="M42" s="182"/>
      <c r="N42" s="182"/>
    </row>
    <row r="43" spans="2:14" s="2" customFormat="1" ht="26.25" customHeight="1" thickBot="1">
      <c r="B43" s="154" t="s">
        <v>147</v>
      </c>
      <c r="C43" s="236">
        <f>E43+G43</f>
        <v>-907186.0769616412</v>
      </c>
      <c r="D43" s="237"/>
      <c r="E43" s="247">
        <f>E41-E42</f>
        <v>-482891.47696164111</v>
      </c>
      <c r="F43" s="248"/>
      <c r="G43" s="253">
        <f>G41-G42</f>
        <v>-424294.60000000009</v>
      </c>
      <c r="H43" s="254"/>
      <c r="I43" s="163"/>
      <c r="J43" s="148"/>
      <c r="K43" s="33"/>
      <c r="L43" s="33"/>
      <c r="M43" s="182"/>
      <c r="N43" s="182"/>
    </row>
    <row r="44" spans="2:14" s="2" customFormat="1" ht="15.75" customHeight="1">
      <c r="B44" s="76"/>
      <c r="C44" s="146"/>
      <c r="D44" s="146"/>
      <c r="E44" s="148"/>
      <c r="F44" s="148"/>
      <c r="G44" s="148"/>
      <c r="H44" s="148"/>
      <c r="I44" s="50"/>
      <c r="J44" s="50"/>
      <c r="K44" s="33"/>
      <c r="L44" s="33"/>
      <c r="M44" s="182"/>
      <c r="N44" s="182"/>
    </row>
    <row r="45" spans="2:14" s="2" customFormat="1" ht="14.25" customHeight="1">
      <c r="B45" s="52" t="s">
        <v>77</v>
      </c>
      <c r="C45" s="225" t="s">
        <v>150</v>
      </c>
      <c r="D45" s="225"/>
      <c r="E45" s="225"/>
      <c r="F45" s="251" t="s">
        <v>174</v>
      </c>
      <c r="G45" s="251"/>
      <c r="H45" s="52"/>
      <c r="I45" s="52"/>
      <c r="M45" s="186"/>
      <c r="N45" s="186"/>
    </row>
    <row r="46" spans="2:14" ht="10.5" customHeight="1">
      <c r="B46" s="52"/>
      <c r="C46" s="53"/>
      <c r="D46" s="53"/>
      <c r="E46" s="211"/>
      <c r="F46" s="252"/>
      <c r="G46" s="252"/>
      <c r="H46" s="52"/>
      <c r="I46" s="52"/>
      <c r="J46" s="2"/>
      <c r="K46" s="2"/>
      <c r="L46" s="2"/>
      <c r="M46" s="186"/>
      <c r="N46" s="186"/>
    </row>
    <row r="47" spans="2:14" ht="12" customHeight="1">
      <c r="B47" s="52" t="s">
        <v>78</v>
      </c>
      <c r="C47" s="225" t="s">
        <v>150</v>
      </c>
      <c r="D47" s="225"/>
      <c r="E47" s="225"/>
      <c r="F47" s="251" t="s">
        <v>93</v>
      </c>
      <c r="G47" s="251"/>
      <c r="H47" s="52"/>
      <c r="I47" s="52"/>
      <c r="J47" s="2"/>
      <c r="K47" s="2"/>
      <c r="L47" s="2"/>
      <c r="M47" s="186"/>
      <c r="N47" s="186"/>
    </row>
    <row r="48" spans="2:14" ht="8.25" customHeight="1">
      <c r="B48" s="52"/>
      <c r="C48" s="53"/>
      <c r="D48" s="53"/>
      <c r="E48" s="211"/>
      <c r="F48" s="251"/>
      <c r="G48" s="251"/>
      <c r="H48" s="52"/>
      <c r="I48" s="52"/>
    </row>
    <row r="49" spans="2:9" ht="12.75" customHeight="1">
      <c r="B49" s="52" t="s">
        <v>79</v>
      </c>
      <c r="C49" s="225" t="s">
        <v>151</v>
      </c>
      <c r="D49" s="225"/>
      <c r="E49" s="225"/>
      <c r="F49" s="251" t="s">
        <v>175</v>
      </c>
      <c r="G49" s="251"/>
      <c r="H49" s="52"/>
      <c r="I49" s="52"/>
    </row>
    <row r="50" spans="2:9" ht="8.25" customHeight="1">
      <c r="B50" s="54"/>
      <c r="C50" s="55"/>
      <c r="D50" s="55"/>
      <c r="E50" s="211"/>
      <c r="F50" s="197"/>
      <c r="G50" s="54"/>
      <c r="H50" s="56"/>
      <c r="I50" s="6"/>
    </row>
    <row r="51" spans="2:9" ht="14.25" customHeight="1">
      <c r="B51" s="52" t="s">
        <v>80</v>
      </c>
      <c r="C51" s="225" t="s">
        <v>151</v>
      </c>
      <c r="D51" s="225"/>
      <c r="E51" s="225"/>
      <c r="F51" s="251" t="s">
        <v>175</v>
      </c>
      <c r="G51" s="251"/>
      <c r="H51" s="52"/>
      <c r="I51" s="52"/>
    </row>
    <row r="52" spans="2:9" ht="9.75" customHeight="1">
      <c r="C52" s="1"/>
      <c r="D52" s="1"/>
      <c r="E52" s="211"/>
      <c r="F52" s="250"/>
      <c r="G52" s="250"/>
      <c r="H52" s="3"/>
      <c r="I52" s="3"/>
    </row>
    <row r="53" spans="2:9">
      <c r="C53" s="1"/>
      <c r="D53" s="1"/>
      <c r="E53" s="14"/>
      <c r="F53" s="3"/>
      <c r="G53" s="3"/>
      <c r="H53" s="3"/>
    </row>
  </sheetData>
  <mergeCells count="58">
    <mergeCell ref="B2:H2"/>
    <mergeCell ref="B3:H3"/>
    <mergeCell ref="B4:H4"/>
    <mergeCell ref="B1:H1"/>
    <mergeCell ref="F48:G48"/>
    <mergeCell ref="E40:F40"/>
    <mergeCell ref="G43:H43"/>
    <mergeCell ref="F47:G47"/>
    <mergeCell ref="G40:H40"/>
    <mergeCell ref="G42:H42"/>
    <mergeCell ref="H24:H25"/>
    <mergeCell ref="B5:H6"/>
    <mergeCell ref="D8:E8"/>
    <mergeCell ref="B23:H23"/>
    <mergeCell ref="F24:G24"/>
    <mergeCell ref="E39:F39"/>
    <mergeCell ref="F52:G52"/>
    <mergeCell ref="F49:G49"/>
    <mergeCell ref="F51:G51"/>
    <mergeCell ref="C39:D39"/>
    <mergeCell ref="C40:D40"/>
    <mergeCell ref="C41:D41"/>
    <mergeCell ref="C42:D42"/>
    <mergeCell ref="C43:D43"/>
    <mergeCell ref="C45:E45"/>
    <mergeCell ref="C47:E47"/>
    <mergeCell ref="G39:H39"/>
    <mergeCell ref="E41:F41"/>
    <mergeCell ref="G41:H41"/>
    <mergeCell ref="F45:G45"/>
    <mergeCell ref="E42:F42"/>
    <mergeCell ref="E43:F43"/>
    <mergeCell ref="B24:B25"/>
    <mergeCell ref="C24:C25"/>
    <mergeCell ref="D24:D25"/>
    <mergeCell ref="E24:E25"/>
    <mergeCell ref="B38:H38"/>
    <mergeCell ref="B16:H16"/>
    <mergeCell ref="C17:D17"/>
    <mergeCell ref="E17:F17"/>
    <mergeCell ref="G17:H17"/>
    <mergeCell ref="C18:D18"/>
    <mergeCell ref="E18:F18"/>
    <mergeCell ref="G18:H18"/>
    <mergeCell ref="M23:M24"/>
    <mergeCell ref="N23:N24"/>
    <mergeCell ref="C19:D19"/>
    <mergeCell ref="E19:F19"/>
    <mergeCell ref="G19:H19"/>
    <mergeCell ref="C20:D20"/>
    <mergeCell ref="E20:F20"/>
    <mergeCell ref="G20:H20"/>
    <mergeCell ref="C49:E49"/>
    <mergeCell ref="C51:E51"/>
    <mergeCell ref="C21:D21"/>
    <mergeCell ref="E21:F21"/>
    <mergeCell ref="G21:H21"/>
    <mergeCell ref="F46:G46"/>
  </mergeCells>
  <printOptions horizontalCentered="1"/>
  <pageMargins left="0.19685039370078741" right="0.19685039370078741" top="0.15748031496062992" bottom="0.23622047244094491" header="0.15748031496062992" footer="0.24"/>
  <pageSetup paperSize="9" scale="46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4">
    <tabColor rgb="FF0070C0"/>
    <pageSetUpPr fitToPage="1"/>
  </sheetPr>
  <dimension ref="A1:P50"/>
  <sheetViews>
    <sheetView zoomScale="110" zoomScaleNormal="110" workbookViewId="0">
      <selection activeCell="M28" sqref="M28"/>
    </sheetView>
  </sheetViews>
  <sheetFormatPr defaultColWidth="9.140625" defaultRowHeight="15.75" outlineLevelRow="1"/>
  <cols>
    <col min="1" max="1" width="2.85546875" style="1" customWidth="1"/>
    <col min="2" max="2" width="55.85546875" style="1" customWidth="1"/>
    <col min="3" max="3" width="14.5703125" style="14" customWidth="1"/>
    <col min="4" max="4" width="8.42578125" style="3" customWidth="1"/>
    <col min="5" max="5" width="10" style="3" customWidth="1"/>
    <col min="6" max="6" width="9.7109375" style="1" customWidth="1"/>
    <col min="7" max="7" width="10.28515625" style="1" customWidth="1"/>
    <col min="8" max="8" width="10.5703125" style="1" customWidth="1"/>
    <col min="9" max="9" width="15" style="1" customWidth="1"/>
    <col min="10" max="10" width="14.28515625" style="1" customWidth="1"/>
    <col min="11" max="11" width="10" style="1" bestFit="1" customWidth="1"/>
    <col min="12" max="12" width="15.140625" style="182" customWidth="1"/>
    <col min="13" max="13" width="19.85546875" style="182" customWidth="1"/>
    <col min="14" max="14" width="20.140625" style="182" customWidth="1"/>
    <col min="15" max="15" width="20.42578125" style="182" customWidth="1"/>
    <col min="16" max="16" width="9.140625" style="182"/>
    <col min="17" max="16384" width="9.140625" style="1"/>
  </cols>
  <sheetData>
    <row r="1" spans="1:9">
      <c r="B1" s="255" t="s">
        <v>119</v>
      </c>
      <c r="C1" s="255"/>
      <c r="D1" s="255"/>
      <c r="E1" s="255"/>
      <c r="F1" s="255"/>
      <c r="G1" s="255"/>
      <c r="H1" s="255"/>
    </row>
    <row r="2" spans="1:9">
      <c r="B2" s="255" t="s">
        <v>120</v>
      </c>
      <c r="C2" s="255"/>
      <c r="D2" s="255"/>
      <c r="E2" s="255"/>
      <c r="F2" s="255"/>
      <c r="G2" s="255"/>
      <c r="H2" s="255"/>
    </row>
    <row r="3" spans="1:9">
      <c r="B3" s="255" t="s">
        <v>155</v>
      </c>
      <c r="C3" s="255"/>
      <c r="D3" s="255"/>
      <c r="E3" s="255"/>
      <c r="F3" s="255"/>
      <c r="G3" s="255"/>
      <c r="H3" s="255"/>
    </row>
    <row r="4" spans="1:9">
      <c r="B4" s="255" t="s">
        <v>183</v>
      </c>
      <c r="C4" s="255"/>
      <c r="D4" s="255"/>
      <c r="E4" s="255"/>
      <c r="F4" s="255"/>
      <c r="G4" s="255"/>
      <c r="H4" s="255"/>
    </row>
    <row r="5" spans="1:9" ht="19.5" customHeight="1">
      <c r="A5" s="67"/>
      <c r="B5" s="256" t="s">
        <v>177</v>
      </c>
      <c r="C5" s="256"/>
      <c r="D5" s="256"/>
      <c r="E5" s="256"/>
      <c r="F5" s="256"/>
      <c r="G5" s="256"/>
      <c r="H5" s="256"/>
    </row>
    <row r="6" spans="1:9" ht="20.25" customHeight="1">
      <c r="A6" s="67"/>
      <c r="B6" s="256"/>
      <c r="C6" s="256"/>
      <c r="D6" s="256"/>
      <c r="E6" s="256"/>
      <c r="F6" s="256"/>
      <c r="G6" s="256"/>
      <c r="H6" s="256"/>
    </row>
    <row r="7" spans="1:9" ht="8.25" customHeight="1"/>
    <row r="8" spans="1:9">
      <c r="B8" s="6" t="s">
        <v>0</v>
      </c>
      <c r="C8" s="57"/>
      <c r="D8" s="275" t="s">
        <v>21</v>
      </c>
      <c r="E8" s="275"/>
    </row>
    <row r="9" spans="1:9">
      <c r="B9" s="6" t="s">
        <v>1</v>
      </c>
      <c r="C9" s="57"/>
      <c r="D9" s="205">
        <v>1963</v>
      </c>
      <c r="E9" s="205"/>
    </row>
    <row r="10" spans="1:9" hidden="1" outlineLevel="1">
      <c r="B10" s="6" t="s">
        <v>2</v>
      </c>
      <c r="C10" s="57"/>
      <c r="D10" s="205">
        <v>4</v>
      </c>
      <c r="E10" s="205"/>
    </row>
    <row r="11" spans="1:9" hidden="1" outlineLevel="1">
      <c r="B11" s="6" t="s">
        <v>3</v>
      </c>
      <c r="C11" s="57"/>
      <c r="D11" s="205">
        <v>48</v>
      </c>
      <c r="E11" s="205"/>
    </row>
    <row r="12" spans="1:9" ht="30.75" hidden="1" customHeight="1" outlineLevel="1">
      <c r="B12" s="58" t="s">
        <v>4</v>
      </c>
      <c r="C12" s="59"/>
      <c r="D12" s="205" t="s">
        <v>22</v>
      </c>
      <c r="E12" s="205"/>
    </row>
    <row r="13" spans="1:9" collapsed="1">
      <c r="B13" s="6" t="s">
        <v>5</v>
      </c>
      <c r="C13" s="57"/>
      <c r="D13" s="205" t="s">
        <v>104</v>
      </c>
      <c r="E13" s="205"/>
      <c r="I13" s="5"/>
    </row>
    <row r="14" spans="1:9" hidden="1" outlineLevel="1">
      <c r="B14" s="1" t="s">
        <v>6</v>
      </c>
      <c r="D14" s="157" t="s">
        <v>23</v>
      </c>
      <c r="E14" s="157"/>
    </row>
    <row r="15" spans="1:9" ht="30.75" hidden="1" customHeight="1" outlineLevel="1">
      <c r="B15" s="15" t="s">
        <v>8</v>
      </c>
      <c r="C15" s="16"/>
      <c r="D15" s="204" t="s">
        <v>24</v>
      </c>
      <c r="E15" s="157"/>
      <c r="I15" s="5"/>
    </row>
    <row r="16" spans="1:9" ht="15.75" customHeight="1" collapsed="1" thickBot="1">
      <c r="B16" s="242" t="s">
        <v>176</v>
      </c>
      <c r="C16" s="242"/>
      <c r="D16" s="242"/>
      <c r="E16" s="242"/>
      <c r="F16" s="242"/>
      <c r="G16" s="242"/>
      <c r="H16" s="242"/>
      <c r="I16" s="5"/>
    </row>
    <row r="17" spans="2:16" ht="47.25" customHeight="1" thickBot="1">
      <c r="B17" s="181" t="s">
        <v>178</v>
      </c>
      <c r="C17" s="228" t="s">
        <v>101</v>
      </c>
      <c r="D17" s="229"/>
      <c r="E17" s="238" t="s">
        <v>9</v>
      </c>
      <c r="F17" s="239"/>
      <c r="G17" s="238" t="s">
        <v>10</v>
      </c>
      <c r="H17" s="245"/>
      <c r="I17" s="5"/>
    </row>
    <row r="18" spans="2:16" ht="15.75" customHeight="1">
      <c r="B18" s="151" t="s">
        <v>11</v>
      </c>
      <c r="C18" s="268">
        <v>3227118.5599796609</v>
      </c>
      <c r="D18" s="273"/>
      <c r="E18" s="268">
        <v>2259563.0300203389</v>
      </c>
      <c r="F18" s="273"/>
      <c r="G18" s="268">
        <v>967555.52995932195</v>
      </c>
      <c r="H18" s="274"/>
      <c r="I18" s="5"/>
    </row>
    <row r="19" spans="2:16" ht="15.75" customHeight="1">
      <c r="B19" s="152" t="s">
        <v>12</v>
      </c>
      <c r="C19" s="232">
        <v>3077821.38</v>
      </c>
      <c r="D19" s="270"/>
      <c r="E19" s="232">
        <v>2153460.9604135589</v>
      </c>
      <c r="F19" s="233"/>
      <c r="G19" s="232">
        <v>924360.4195864409</v>
      </c>
      <c r="H19" s="243"/>
      <c r="I19" s="5"/>
    </row>
    <row r="20" spans="2:16" ht="15.75" customHeight="1" thickBot="1">
      <c r="B20" s="153" t="s">
        <v>88</v>
      </c>
      <c r="C20" s="271">
        <v>3065178.9213300003</v>
      </c>
      <c r="D20" s="272"/>
      <c r="E20" s="234">
        <v>2296747.9213300003</v>
      </c>
      <c r="F20" s="235"/>
      <c r="G20" s="234">
        <v>768431</v>
      </c>
      <c r="H20" s="244"/>
      <c r="I20" s="5"/>
    </row>
    <row r="21" spans="2:16" ht="30.75" customHeight="1" thickBot="1">
      <c r="B21" s="154" t="s">
        <v>146</v>
      </c>
      <c r="C21" s="236">
        <f>E21+G21</f>
        <v>12642.458669999498</v>
      </c>
      <c r="D21" s="237"/>
      <c r="E21" s="247">
        <f>E19-E20</f>
        <v>-143286.9609164414</v>
      </c>
      <c r="F21" s="248"/>
      <c r="G21" s="247">
        <f>G19-G20</f>
        <v>155929.4195864409</v>
      </c>
      <c r="H21" s="249"/>
      <c r="I21" s="5"/>
    </row>
    <row r="22" spans="2:16" ht="12" customHeight="1">
      <c r="B22" s="15"/>
      <c r="C22" s="16"/>
      <c r="D22" s="204"/>
      <c r="E22" s="157"/>
      <c r="I22" s="5"/>
    </row>
    <row r="23" spans="2:16" ht="31.5" customHeight="1" thickBot="1">
      <c r="B23" s="265" t="s">
        <v>179</v>
      </c>
      <c r="C23" s="265"/>
      <c r="D23" s="265"/>
      <c r="E23" s="265"/>
      <c r="F23" s="265"/>
      <c r="G23" s="265"/>
      <c r="H23" s="265"/>
      <c r="L23" s="212"/>
      <c r="M23" s="226" t="s">
        <v>148</v>
      </c>
      <c r="N23" s="226" t="s">
        <v>149</v>
      </c>
    </row>
    <row r="24" spans="2:16" ht="31.5" customHeight="1">
      <c r="B24" s="261" t="s">
        <v>94</v>
      </c>
      <c r="C24" s="259" t="s">
        <v>95</v>
      </c>
      <c r="D24" s="259" t="s">
        <v>116</v>
      </c>
      <c r="E24" s="266" t="s">
        <v>180</v>
      </c>
      <c r="F24" s="240" t="s">
        <v>96</v>
      </c>
      <c r="G24" s="241"/>
      <c r="H24" s="257" t="s">
        <v>122</v>
      </c>
      <c r="L24" s="212"/>
      <c r="M24" s="227"/>
      <c r="N24" s="227"/>
    </row>
    <row r="25" spans="2:16" s="199" customFormat="1" ht="46.5" customHeight="1" thickBot="1">
      <c r="B25" s="262"/>
      <c r="C25" s="260"/>
      <c r="D25" s="260"/>
      <c r="E25" s="267"/>
      <c r="F25" s="17" t="s">
        <v>81</v>
      </c>
      <c r="G25" s="18" t="s">
        <v>82</v>
      </c>
      <c r="H25" s="258"/>
      <c r="I25" s="1"/>
      <c r="J25" s="1"/>
      <c r="K25" s="1"/>
      <c r="L25" s="182"/>
      <c r="M25" s="185">
        <v>228858.6</v>
      </c>
      <c r="N25" s="183">
        <f>M25*1.05</f>
        <v>240301.53000000003</v>
      </c>
      <c r="O25" s="213" t="s">
        <v>184</v>
      </c>
      <c r="P25" s="213"/>
    </row>
    <row r="26" spans="2:16" s="2" customFormat="1" ht="39" customHeight="1">
      <c r="B26" s="19" t="s">
        <v>86</v>
      </c>
      <c r="C26" s="20" t="s">
        <v>97</v>
      </c>
      <c r="D26" s="21" t="s">
        <v>98</v>
      </c>
      <c r="E26" s="22">
        <v>1.05</v>
      </c>
      <c r="F26" s="23">
        <f>($M$25+$M$27)/$M$26*E26</f>
        <v>24630.477779323388</v>
      </c>
      <c r="G26" s="24">
        <f>($N$25+$N$27)/$N$26*E26</f>
        <v>25862.001668289562</v>
      </c>
      <c r="H26" s="25">
        <f>F26-G26</f>
        <v>-1231.5238889661741</v>
      </c>
      <c r="I26" s="26"/>
      <c r="J26" s="199"/>
      <c r="K26" s="199"/>
      <c r="L26" s="214"/>
      <c r="M26" s="185">
        <f>E35-E33</f>
        <v>10.039999999999999</v>
      </c>
      <c r="N26" s="185">
        <f>E35-E33</f>
        <v>10.039999999999999</v>
      </c>
      <c r="O26" s="185">
        <f>E35-E33</f>
        <v>10.039999999999999</v>
      </c>
      <c r="P26" s="186"/>
    </row>
    <row r="27" spans="2:16" ht="51">
      <c r="B27" s="28" t="s">
        <v>90</v>
      </c>
      <c r="C27" s="20" t="s">
        <v>97</v>
      </c>
      <c r="D27" s="21" t="s">
        <v>98</v>
      </c>
      <c r="E27" s="29">
        <v>1.17</v>
      </c>
      <c r="F27" s="23">
        <f t="shared" ref="F27:F34" si="0">($M$25+$M$27)/$M$26*E27</f>
        <v>27445.389525531773</v>
      </c>
      <c r="G27" s="24">
        <f t="shared" ref="G27:G32" si="1">($N$25+$N$27)/$N$26*E27</f>
        <v>28817.659001808366</v>
      </c>
      <c r="H27" s="25">
        <f t="shared" ref="H27:H32" si="2">F27-G27</f>
        <v>-1372.2694762765932</v>
      </c>
      <c r="I27" s="31"/>
      <c r="J27" s="2"/>
      <c r="K27" s="2"/>
      <c r="L27" s="189" t="s">
        <v>133</v>
      </c>
      <c r="M27" s="188">
        <f>M28/E35*M26</f>
        <v>6655.6827661016951</v>
      </c>
      <c r="N27" s="188">
        <f>N28/E35*N26</f>
        <v>6988.4669044067796</v>
      </c>
      <c r="O27" s="188">
        <f>O28/E35*O26</f>
        <v>2645.3596203389829</v>
      </c>
    </row>
    <row r="28" spans="2:16" ht="30.75" customHeight="1">
      <c r="B28" s="32" t="s">
        <v>83</v>
      </c>
      <c r="C28" s="20" t="s">
        <v>97</v>
      </c>
      <c r="D28" s="21" t="s">
        <v>98</v>
      </c>
      <c r="E28" s="29">
        <v>0.27</v>
      </c>
      <c r="F28" s="23">
        <f t="shared" si="0"/>
        <v>6333.5514289688708</v>
      </c>
      <c r="G28" s="24">
        <f t="shared" si="1"/>
        <v>6650.2290004173165</v>
      </c>
      <c r="H28" s="25">
        <f t="shared" si="2"/>
        <v>-316.67757144844563</v>
      </c>
      <c r="I28" s="33"/>
      <c r="L28" s="189" t="s">
        <v>131</v>
      </c>
      <c r="M28" s="189">
        <f>9021.15+756.87</f>
        <v>9778.02</v>
      </c>
      <c r="N28" s="189">
        <f>M28*1.05</f>
        <v>10266.921</v>
      </c>
      <c r="O28" s="189">
        <f>3694.12+192.24</f>
        <v>3886.3599999999997</v>
      </c>
    </row>
    <row r="29" spans="2:16" ht="25.5">
      <c r="B29" s="32" t="s">
        <v>84</v>
      </c>
      <c r="C29" s="34" t="s">
        <v>99</v>
      </c>
      <c r="D29" s="21" t="s">
        <v>98</v>
      </c>
      <c r="E29" s="29">
        <v>0.24</v>
      </c>
      <c r="F29" s="23">
        <f t="shared" si="0"/>
        <v>5629.8234924167737</v>
      </c>
      <c r="G29" s="24">
        <f t="shared" si="1"/>
        <v>5911.3146670376136</v>
      </c>
      <c r="H29" s="25">
        <f t="shared" si="2"/>
        <v>-281.49117462083996</v>
      </c>
      <c r="I29" s="33"/>
      <c r="L29" s="188" t="s">
        <v>134</v>
      </c>
      <c r="M29" s="188">
        <f>M28/E35*E33</f>
        <v>3122.3372338983054</v>
      </c>
      <c r="N29" s="188"/>
      <c r="O29" s="188">
        <f>O28/E35*E33</f>
        <v>1241.000379661017</v>
      </c>
    </row>
    <row r="30" spans="2:16" ht="51">
      <c r="B30" s="28" t="s">
        <v>87</v>
      </c>
      <c r="C30" s="20" t="s">
        <v>137</v>
      </c>
      <c r="D30" s="21" t="s">
        <v>98</v>
      </c>
      <c r="E30" s="29">
        <v>1.18</v>
      </c>
      <c r="F30" s="23">
        <f t="shared" si="0"/>
        <v>27679.965504382471</v>
      </c>
      <c r="G30" s="24">
        <f t="shared" si="1"/>
        <v>29063.9637796016</v>
      </c>
      <c r="H30" s="25">
        <f t="shared" si="2"/>
        <v>-1383.9982752191281</v>
      </c>
      <c r="I30" s="33"/>
    </row>
    <row r="31" spans="2:16" s="2" customFormat="1" ht="214.5" customHeight="1">
      <c r="B31" s="28" t="s">
        <v>121</v>
      </c>
      <c r="C31" s="20" t="s">
        <v>100</v>
      </c>
      <c r="D31" s="21" t="s">
        <v>98</v>
      </c>
      <c r="E31" s="29">
        <v>5.5</v>
      </c>
      <c r="F31" s="23">
        <f t="shared" si="0"/>
        <v>129016.78836788441</v>
      </c>
      <c r="G31" s="24">
        <f t="shared" si="1"/>
        <v>135467.62778627867</v>
      </c>
      <c r="H31" s="25">
        <f t="shared" si="2"/>
        <v>-6450.8394183942582</v>
      </c>
      <c r="I31" s="31"/>
      <c r="L31" s="215"/>
      <c r="M31" s="186"/>
      <c r="N31" s="186"/>
      <c r="O31" s="186"/>
      <c r="P31" s="186"/>
    </row>
    <row r="32" spans="2:16" ht="105" customHeight="1">
      <c r="B32" s="28" t="s">
        <v>102</v>
      </c>
      <c r="C32" s="20" t="s">
        <v>97</v>
      </c>
      <c r="D32" s="21" t="s">
        <v>98</v>
      </c>
      <c r="E32" s="29">
        <v>0.24</v>
      </c>
      <c r="F32" s="23">
        <f t="shared" si="0"/>
        <v>5629.8234924167737</v>
      </c>
      <c r="G32" s="24">
        <f t="shared" si="1"/>
        <v>5911.3146670376136</v>
      </c>
      <c r="H32" s="25">
        <f t="shared" si="2"/>
        <v>-281.49117462083996</v>
      </c>
      <c r="I32" s="33"/>
    </row>
    <row r="33" spans="2:16" ht="29.25" customHeight="1">
      <c r="B33" s="32" t="s">
        <v>91</v>
      </c>
      <c r="C33" s="20" t="s">
        <v>97</v>
      </c>
      <c r="D33" s="21" t="s">
        <v>98</v>
      </c>
      <c r="E33" s="29">
        <v>4.71</v>
      </c>
      <c r="F33" s="23">
        <f>107362.95+M29</f>
        <v>110485.2872338983</v>
      </c>
      <c r="G33" s="30">
        <v>99919</v>
      </c>
      <c r="H33" s="25">
        <f>F33-G33</f>
        <v>10566.2872338983</v>
      </c>
      <c r="I33" s="33"/>
      <c r="L33" s="212"/>
    </row>
    <row r="34" spans="2:16" s="66" customFormat="1" ht="16.5" thickBot="1">
      <c r="B34" s="62" t="s">
        <v>85</v>
      </c>
      <c r="C34" s="36" t="s">
        <v>100</v>
      </c>
      <c r="D34" s="37" t="s">
        <v>98</v>
      </c>
      <c r="E34" s="38">
        <v>0.39</v>
      </c>
      <c r="F34" s="23">
        <f t="shared" si="0"/>
        <v>9148.4631751772577</v>
      </c>
      <c r="G34" s="24">
        <f t="shared" ref="G34" si="3">($N$25+$N$27)/$N$26*E34</f>
        <v>9605.8863339361233</v>
      </c>
      <c r="H34" s="25">
        <f>F34-G34</f>
        <v>-457.42315875886561</v>
      </c>
      <c r="I34" s="33"/>
      <c r="J34" s="1"/>
      <c r="K34" s="1"/>
      <c r="L34" s="182"/>
      <c r="M34" s="182"/>
      <c r="N34" s="182"/>
      <c r="O34" s="224"/>
      <c r="P34" s="224"/>
    </row>
    <row r="35" spans="2:16" s="3" customFormat="1" ht="16.5" thickBot="1">
      <c r="B35" s="39" t="s">
        <v>89</v>
      </c>
      <c r="C35" s="40"/>
      <c r="D35" s="40"/>
      <c r="E35" s="41">
        <f>SUM(E26:E34)</f>
        <v>14.75</v>
      </c>
      <c r="F35" s="42">
        <f>SUM(F26:F34)</f>
        <v>345999.57</v>
      </c>
      <c r="G35" s="43">
        <f>SUM(G26:G34)</f>
        <v>347208.99690440681</v>
      </c>
      <c r="H35" s="44">
        <f>SUM(H26:H34)</f>
        <v>-1209.4269044068442</v>
      </c>
      <c r="I35" s="65"/>
      <c r="J35" s="1"/>
      <c r="K35" s="1"/>
      <c r="L35" s="182"/>
      <c r="M35" s="182"/>
      <c r="N35" s="182"/>
      <c r="O35" s="187"/>
      <c r="P35" s="187"/>
    </row>
    <row r="36" spans="2:16">
      <c r="B36" s="5"/>
      <c r="C36" s="5"/>
      <c r="D36" s="5"/>
      <c r="E36" s="14"/>
      <c r="F36" s="3"/>
      <c r="G36" s="14"/>
      <c r="H36" s="3"/>
    </row>
    <row r="37" spans="2:16" ht="16.5" customHeight="1" thickBot="1">
      <c r="B37" s="242" t="s">
        <v>181</v>
      </c>
      <c r="C37" s="242"/>
      <c r="D37" s="242"/>
      <c r="E37" s="242"/>
      <c r="F37" s="242"/>
      <c r="G37" s="242"/>
      <c r="H37" s="242"/>
      <c r="I37" s="45"/>
      <c r="J37" s="45"/>
    </row>
    <row r="38" spans="2:16" ht="41.25" customHeight="1" thickBot="1">
      <c r="B38" s="181" t="s">
        <v>182</v>
      </c>
      <c r="C38" s="228" t="s">
        <v>101</v>
      </c>
      <c r="D38" s="229"/>
      <c r="E38" s="238" t="s">
        <v>9</v>
      </c>
      <c r="F38" s="239"/>
      <c r="G38" s="238" t="s">
        <v>10</v>
      </c>
      <c r="H38" s="245"/>
      <c r="I38" s="158"/>
      <c r="J38" s="159"/>
      <c r="K38" s="46"/>
      <c r="L38" s="217"/>
      <c r="M38" s="187"/>
      <c r="N38" s="187"/>
    </row>
    <row r="39" spans="2:16">
      <c r="B39" s="151" t="s">
        <v>11</v>
      </c>
      <c r="C39" s="230">
        <f>E39+G39</f>
        <v>3573118.1299796612</v>
      </c>
      <c r="D39" s="231"/>
      <c r="E39" s="230">
        <f>F26+F27+F28+F29+F30+F31+F32+F34+E18</f>
        <v>2495077.3127864408</v>
      </c>
      <c r="F39" s="231"/>
      <c r="G39" s="230">
        <f>F33+G18</f>
        <v>1078040.8171932204</v>
      </c>
      <c r="H39" s="246"/>
      <c r="I39" s="160"/>
      <c r="J39" s="161"/>
      <c r="K39" s="49"/>
      <c r="L39" s="191"/>
      <c r="M39" s="188"/>
    </row>
    <row r="40" spans="2:16" s="2" customFormat="1">
      <c r="B40" s="152" t="s">
        <v>12</v>
      </c>
      <c r="C40" s="232">
        <f>E40+G40</f>
        <v>3444250.78</v>
      </c>
      <c r="D40" s="233"/>
      <c r="E40" s="232">
        <f>E19+O27+246775.16</f>
        <v>2402881.4800338978</v>
      </c>
      <c r="F40" s="233"/>
      <c r="G40" s="232">
        <f>G19+O29+115767.88</f>
        <v>1041369.2999661019</v>
      </c>
      <c r="H40" s="243"/>
      <c r="I40" s="160"/>
      <c r="J40" s="162"/>
      <c r="K40" s="51"/>
      <c r="L40" s="191"/>
      <c r="M40" s="188"/>
      <c r="N40" s="182"/>
      <c r="O40" s="186"/>
      <c r="P40" s="186"/>
    </row>
    <row r="41" spans="2:16" s="2" customFormat="1" ht="16.5" thickBot="1">
      <c r="B41" s="153" t="s">
        <v>88</v>
      </c>
      <c r="C41" s="234">
        <f>E41+G41</f>
        <v>3412387.918234407</v>
      </c>
      <c r="D41" s="235"/>
      <c r="E41" s="234">
        <f>G26+G27+G28+G29+G30+G31+G32+G34+E20</f>
        <v>2544037.918234407</v>
      </c>
      <c r="F41" s="235"/>
      <c r="G41" s="234">
        <f>G33+G20</f>
        <v>868350</v>
      </c>
      <c r="H41" s="244"/>
      <c r="I41" s="160"/>
      <c r="J41" s="48"/>
      <c r="K41" s="33"/>
      <c r="L41" s="219"/>
      <c r="M41" s="182"/>
      <c r="N41" s="182"/>
      <c r="O41" s="186"/>
      <c r="P41" s="186"/>
    </row>
    <row r="42" spans="2:16" s="2" customFormat="1" ht="27" customHeight="1" thickBot="1">
      <c r="B42" s="154" t="s">
        <v>147</v>
      </c>
      <c r="C42" s="236">
        <f>E42+G42</f>
        <v>31862.861765592708</v>
      </c>
      <c r="D42" s="237"/>
      <c r="E42" s="247">
        <f>E40-E41</f>
        <v>-141156.43820050918</v>
      </c>
      <c r="F42" s="248"/>
      <c r="G42" s="247">
        <f>G40-G41</f>
        <v>173019.29996610188</v>
      </c>
      <c r="H42" s="249"/>
      <c r="I42" s="163"/>
      <c r="J42" s="148"/>
      <c r="K42" s="33"/>
      <c r="L42" s="219"/>
      <c r="M42" s="182"/>
      <c r="N42" s="182"/>
      <c r="O42" s="186"/>
      <c r="P42" s="186"/>
    </row>
    <row r="43" spans="2:16" ht="15.75" customHeight="1">
      <c r="B43" s="76"/>
      <c r="C43" s="146"/>
      <c r="D43" s="146"/>
      <c r="E43" s="148"/>
      <c r="F43" s="148"/>
      <c r="G43" s="148"/>
      <c r="H43" s="148"/>
      <c r="I43" s="52"/>
      <c r="J43" s="2"/>
      <c r="K43" s="2"/>
      <c r="L43" s="186"/>
      <c r="M43" s="186"/>
      <c r="N43" s="186"/>
    </row>
    <row r="44" spans="2:16" ht="18.75" customHeight="1">
      <c r="B44" s="52" t="s">
        <v>77</v>
      </c>
      <c r="C44" s="225" t="s">
        <v>150</v>
      </c>
      <c r="D44" s="225"/>
      <c r="E44" s="225"/>
      <c r="F44" s="251" t="s">
        <v>174</v>
      </c>
      <c r="G44" s="251"/>
      <c r="H44" s="52"/>
      <c r="I44" s="52"/>
      <c r="J44" s="2"/>
      <c r="K44" s="2"/>
      <c r="L44" s="186"/>
      <c r="M44" s="186"/>
      <c r="N44" s="186"/>
    </row>
    <row r="45" spans="2:16" ht="7.5" customHeight="1">
      <c r="B45" s="52"/>
      <c r="C45" s="53"/>
      <c r="D45" s="53"/>
      <c r="E45" s="211"/>
      <c r="F45" s="252"/>
      <c r="G45" s="252"/>
      <c r="H45" s="52"/>
      <c r="I45" s="52"/>
      <c r="J45" s="2"/>
      <c r="K45" s="2"/>
      <c r="L45" s="186"/>
      <c r="M45" s="186"/>
      <c r="N45" s="186"/>
    </row>
    <row r="46" spans="2:16" ht="14.25" customHeight="1">
      <c r="B46" s="52" t="s">
        <v>78</v>
      </c>
      <c r="C46" s="225" t="s">
        <v>150</v>
      </c>
      <c r="D46" s="225"/>
      <c r="E46" s="225"/>
      <c r="F46" s="251" t="s">
        <v>93</v>
      </c>
      <c r="G46" s="251"/>
      <c r="H46" s="52"/>
      <c r="I46" s="52"/>
    </row>
    <row r="47" spans="2:16" ht="9" customHeight="1">
      <c r="B47" s="52"/>
      <c r="C47" s="53"/>
      <c r="D47" s="53"/>
      <c r="E47" s="211"/>
      <c r="F47" s="251"/>
      <c r="G47" s="251"/>
      <c r="H47" s="52"/>
      <c r="I47" s="52"/>
    </row>
    <row r="48" spans="2:16" ht="12.75" customHeight="1">
      <c r="B48" s="52" t="s">
        <v>79</v>
      </c>
      <c r="C48" s="225" t="s">
        <v>151</v>
      </c>
      <c r="D48" s="225"/>
      <c r="E48" s="225"/>
      <c r="F48" s="251" t="s">
        <v>175</v>
      </c>
      <c r="G48" s="251"/>
      <c r="H48" s="52"/>
      <c r="I48" s="6"/>
    </row>
    <row r="49" spans="2:9" ht="9" customHeight="1">
      <c r="B49" s="54"/>
      <c r="C49" s="55"/>
      <c r="D49" s="55"/>
      <c r="E49" s="211"/>
      <c r="F49" s="197"/>
      <c r="G49" s="54"/>
      <c r="H49" s="56"/>
      <c r="I49" s="52"/>
    </row>
    <row r="50" spans="2:9" ht="15.75" customHeight="1">
      <c r="B50" s="52" t="s">
        <v>80</v>
      </c>
      <c r="C50" s="225" t="s">
        <v>151</v>
      </c>
      <c r="D50" s="225"/>
      <c r="E50" s="225"/>
      <c r="F50" s="251" t="s">
        <v>175</v>
      </c>
      <c r="G50" s="251"/>
      <c r="H50" s="52"/>
      <c r="I50" s="3"/>
    </row>
  </sheetData>
  <mergeCells count="57">
    <mergeCell ref="B1:H1"/>
    <mergeCell ref="F44:G44"/>
    <mergeCell ref="G40:H40"/>
    <mergeCell ref="G41:H41"/>
    <mergeCell ref="G42:H42"/>
    <mergeCell ref="E40:F40"/>
    <mergeCell ref="E41:F41"/>
    <mergeCell ref="E42:F42"/>
    <mergeCell ref="D8:E8"/>
    <mergeCell ref="B2:H2"/>
    <mergeCell ref="B3:H3"/>
    <mergeCell ref="D24:D25"/>
    <mergeCell ref="B4:H4"/>
    <mergeCell ref="B5:H6"/>
    <mergeCell ref="B37:H37"/>
    <mergeCell ref="E38:F38"/>
    <mergeCell ref="G39:H39"/>
    <mergeCell ref="E24:E25"/>
    <mergeCell ref="F24:G24"/>
    <mergeCell ref="B23:H23"/>
    <mergeCell ref="H24:H25"/>
    <mergeCell ref="B24:B25"/>
    <mergeCell ref="C24:C25"/>
    <mergeCell ref="E39:F39"/>
    <mergeCell ref="C38:D38"/>
    <mergeCell ref="C39:D39"/>
    <mergeCell ref="G38:H38"/>
    <mergeCell ref="C19:D19"/>
    <mergeCell ref="E19:F19"/>
    <mergeCell ref="G19:H19"/>
    <mergeCell ref="C20:D20"/>
    <mergeCell ref="E20:F20"/>
    <mergeCell ref="G20:H20"/>
    <mergeCell ref="B16:H16"/>
    <mergeCell ref="C17:D17"/>
    <mergeCell ref="E17:F17"/>
    <mergeCell ref="G17:H17"/>
    <mergeCell ref="C18:D18"/>
    <mergeCell ref="E18:F18"/>
    <mergeCell ref="G18:H18"/>
    <mergeCell ref="C21:D21"/>
    <mergeCell ref="E21:F21"/>
    <mergeCell ref="G21:H21"/>
    <mergeCell ref="M23:M24"/>
    <mergeCell ref="N23:N24"/>
    <mergeCell ref="C48:E48"/>
    <mergeCell ref="F48:G48"/>
    <mergeCell ref="C50:E50"/>
    <mergeCell ref="C40:D40"/>
    <mergeCell ref="C41:D41"/>
    <mergeCell ref="C42:D42"/>
    <mergeCell ref="C44:E44"/>
    <mergeCell ref="C46:E46"/>
    <mergeCell ref="F50:G50"/>
    <mergeCell ref="F47:G47"/>
    <mergeCell ref="F45:G45"/>
    <mergeCell ref="F46:G46"/>
  </mergeCells>
  <printOptions horizontalCentered="1"/>
  <pageMargins left="0.19685039370078741" right="0.19685039370078741" top="0.15748031496062992" bottom="0.14000000000000001" header="0.16" footer="0.15"/>
  <pageSetup paperSize="9" scale="4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Лист5">
    <tabColor rgb="FF0070C0"/>
    <pageSetUpPr fitToPage="1"/>
  </sheetPr>
  <dimension ref="A1:N50"/>
  <sheetViews>
    <sheetView zoomScale="110" zoomScaleNormal="110" workbookViewId="0">
      <selection activeCell="B20" sqref="B20"/>
    </sheetView>
  </sheetViews>
  <sheetFormatPr defaultColWidth="9.140625" defaultRowHeight="15.75" outlineLevelRow="1"/>
  <cols>
    <col min="1" max="1" width="2.85546875" style="1" customWidth="1"/>
    <col min="2" max="2" width="56.140625" style="1" customWidth="1"/>
    <col min="3" max="3" width="14.42578125" style="14" customWidth="1"/>
    <col min="4" max="4" width="8.7109375" style="3" customWidth="1"/>
    <col min="5" max="5" width="10.42578125" style="3" customWidth="1"/>
    <col min="6" max="6" width="10.140625" style="1" customWidth="1"/>
    <col min="7" max="7" width="10.28515625" style="1" customWidth="1"/>
    <col min="8" max="8" width="10.5703125" style="1" customWidth="1"/>
    <col min="9" max="9" width="15" style="1" customWidth="1"/>
    <col min="10" max="10" width="13.85546875" style="1" customWidth="1"/>
    <col min="11" max="12" width="9.140625" style="1"/>
    <col min="13" max="13" width="19.140625" style="182" customWidth="1"/>
    <col min="14" max="14" width="17.5703125" style="182" customWidth="1"/>
    <col min="15" max="16384" width="9.140625" style="1"/>
  </cols>
  <sheetData>
    <row r="1" spans="1:9">
      <c r="B1" s="255" t="s">
        <v>119</v>
      </c>
      <c r="C1" s="255"/>
      <c r="D1" s="255"/>
      <c r="E1" s="255"/>
      <c r="F1" s="255"/>
      <c r="G1" s="255"/>
      <c r="H1" s="255"/>
    </row>
    <row r="2" spans="1:9">
      <c r="B2" s="255" t="s">
        <v>120</v>
      </c>
      <c r="C2" s="255"/>
      <c r="D2" s="255"/>
      <c r="E2" s="255"/>
      <c r="F2" s="255"/>
      <c r="G2" s="255"/>
      <c r="H2" s="255"/>
    </row>
    <row r="3" spans="1:9">
      <c r="B3" s="255" t="s">
        <v>156</v>
      </c>
      <c r="C3" s="255"/>
      <c r="D3" s="255"/>
      <c r="E3" s="255"/>
      <c r="F3" s="255"/>
      <c r="G3" s="255"/>
      <c r="H3" s="255"/>
    </row>
    <row r="4" spans="1:9">
      <c r="B4" s="255" t="s">
        <v>183</v>
      </c>
      <c r="C4" s="255"/>
      <c r="D4" s="255"/>
      <c r="E4" s="255"/>
      <c r="F4" s="255"/>
      <c r="G4" s="255"/>
      <c r="H4" s="255"/>
    </row>
    <row r="5" spans="1:9" ht="23.25" customHeight="1">
      <c r="A5" s="67"/>
      <c r="B5" s="256" t="s">
        <v>177</v>
      </c>
      <c r="C5" s="256"/>
      <c r="D5" s="256"/>
      <c r="E5" s="256"/>
      <c r="F5" s="256"/>
      <c r="G5" s="256"/>
      <c r="H5" s="256"/>
    </row>
    <row r="6" spans="1:9" ht="20.25" customHeight="1">
      <c r="A6" s="67"/>
      <c r="B6" s="256"/>
      <c r="C6" s="256"/>
      <c r="D6" s="256"/>
      <c r="E6" s="256"/>
      <c r="F6" s="256"/>
      <c r="G6" s="256"/>
      <c r="H6" s="256"/>
    </row>
    <row r="7" spans="1:9" ht="8.25" customHeight="1"/>
    <row r="8" spans="1:9">
      <c r="B8" s="164" t="s">
        <v>0</v>
      </c>
      <c r="C8" s="165"/>
      <c r="D8" s="263" t="s">
        <v>25</v>
      </c>
      <c r="E8" s="263"/>
    </row>
    <row r="9" spans="1:9">
      <c r="B9" s="164" t="s">
        <v>1</v>
      </c>
      <c r="C9" s="165"/>
      <c r="D9" s="203">
        <v>1965</v>
      </c>
      <c r="E9" s="203"/>
    </row>
    <row r="10" spans="1:9" outlineLevel="1">
      <c r="B10" s="164" t="s">
        <v>2</v>
      </c>
      <c r="C10" s="165"/>
      <c r="D10" s="203">
        <v>4</v>
      </c>
      <c r="E10" s="203"/>
    </row>
    <row r="11" spans="1:9" outlineLevel="1">
      <c r="B11" s="164" t="s">
        <v>3</v>
      </c>
      <c r="C11" s="165"/>
      <c r="D11" s="203">
        <v>48</v>
      </c>
      <c r="E11" s="203"/>
    </row>
    <row r="12" spans="1:9" ht="30.75" customHeight="1" outlineLevel="1">
      <c r="B12" s="166" t="s">
        <v>4</v>
      </c>
      <c r="C12" s="167"/>
      <c r="D12" s="203" t="s">
        <v>26</v>
      </c>
      <c r="E12" s="203"/>
    </row>
    <row r="13" spans="1:9">
      <c r="B13" s="164" t="s">
        <v>5</v>
      </c>
      <c r="C13" s="165"/>
      <c r="D13" s="203" t="s">
        <v>105</v>
      </c>
      <c r="E13" s="203"/>
      <c r="I13" s="5"/>
    </row>
    <row r="14" spans="1:9" hidden="1" outlineLevel="1">
      <c r="B14" s="1" t="s">
        <v>6</v>
      </c>
      <c r="D14" s="157" t="s">
        <v>7</v>
      </c>
      <c r="E14" s="157"/>
    </row>
    <row r="15" spans="1:9" ht="30.75" hidden="1" customHeight="1" outlineLevel="1">
      <c r="B15" s="15" t="s">
        <v>8</v>
      </c>
      <c r="C15" s="16"/>
      <c r="D15" s="204" t="s">
        <v>27</v>
      </c>
      <c r="E15" s="157"/>
      <c r="I15" s="5"/>
    </row>
    <row r="16" spans="1:9" ht="18.75" customHeight="1" collapsed="1" thickBot="1">
      <c r="B16" s="242" t="s">
        <v>176</v>
      </c>
      <c r="C16" s="242"/>
      <c r="D16" s="242"/>
      <c r="E16" s="242"/>
      <c r="F16" s="242"/>
      <c r="G16" s="242"/>
      <c r="H16" s="242"/>
      <c r="I16" s="5"/>
    </row>
    <row r="17" spans="2:14" ht="42.75" customHeight="1" thickBot="1">
      <c r="B17" s="181" t="s">
        <v>178</v>
      </c>
      <c r="C17" s="228" t="s">
        <v>101</v>
      </c>
      <c r="D17" s="229"/>
      <c r="E17" s="238" t="s">
        <v>9</v>
      </c>
      <c r="F17" s="239"/>
      <c r="G17" s="238" t="s">
        <v>10</v>
      </c>
      <c r="H17" s="245"/>
      <c r="I17" s="5"/>
    </row>
    <row r="18" spans="2:14">
      <c r="B18" s="151" t="s">
        <v>11</v>
      </c>
      <c r="C18" s="268">
        <v>3520745.5200000005</v>
      </c>
      <c r="D18" s="269"/>
      <c r="E18" s="230">
        <v>2565892.4700000007</v>
      </c>
      <c r="F18" s="231"/>
      <c r="G18" s="230">
        <v>954853.04999999981</v>
      </c>
      <c r="H18" s="246"/>
      <c r="I18" s="5"/>
    </row>
    <row r="19" spans="2:14">
      <c r="B19" s="152" t="s">
        <v>12</v>
      </c>
      <c r="C19" s="232">
        <v>3364105.44</v>
      </c>
      <c r="D19" s="270"/>
      <c r="E19" s="232">
        <v>2455159.02</v>
      </c>
      <c r="F19" s="233"/>
      <c r="G19" s="232">
        <v>908946.41999999993</v>
      </c>
      <c r="H19" s="243"/>
      <c r="I19" s="5"/>
    </row>
    <row r="20" spans="2:14" ht="16.5" thickBot="1">
      <c r="B20" s="153" t="s">
        <v>88</v>
      </c>
      <c r="C20" s="271">
        <v>3315080.7147000004</v>
      </c>
      <c r="D20" s="272"/>
      <c r="E20" s="234">
        <v>2588539.7147000004</v>
      </c>
      <c r="F20" s="235"/>
      <c r="G20" s="234">
        <v>726541</v>
      </c>
      <c r="H20" s="244"/>
      <c r="I20" s="5"/>
    </row>
    <row r="21" spans="2:14" ht="28.5" customHeight="1" thickBot="1">
      <c r="B21" s="154" t="s">
        <v>146</v>
      </c>
      <c r="C21" s="236">
        <f>E21+G21</f>
        <v>49024.725299999584</v>
      </c>
      <c r="D21" s="237"/>
      <c r="E21" s="247">
        <f>E19-E20</f>
        <v>-133380.69470000034</v>
      </c>
      <c r="F21" s="248"/>
      <c r="G21" s="247">
        <f>G19-G20</f>
        <v>182405.41999999993</v>
      </c>
      <c r="H21" s="249"/>
      <c r="I21" s="5"/>
    </row>
    <row r="22" spans="2:14" ht="12.75" customHeight="1">
      <c r="B22" s="155"/>
      <c r="C22" s="156"/>
      <c r="D22" s="156"/>
      <c r="E22" s="147"/>
      <c r="F22" s="147"/>
      <c r="G22" s="147"/>
      <c r="H22" s="147"/>
      <c r="I22" s="5"/>
    </row>
    <row r="23" spans="2:14" ht="30" customHeight="1" thickBot="1">
      <c r="B23" s="265" t="s">
        <v>179</v>
      </c>
      <c r="C23" s="265"/>
      <c r="D23" s="265"/>
      <c r="E23" s="265"/>
      <c r="F23" s="265"/>
      <c r="G23" s="265"/>
      <c r="H23" s="265"/>
      <c r="L23" s="5"/>
      <c r="M23" s="226" t="s">
        <v>148</v>
      </c>
      <c r="N23" s="226" t="s">
        <v>149</v>
      </c>
    </row>
    <row r="24" spans="2:14" s="199" customFormat="1" ht="31.5" customHeight="1">
      <c r="B24" s="261" t="s">
        <v>94</v>
      </c>
      <c r="C24" s="259" t="s">
        <v>95</v>
      </c>
      <c r="D24" s="259" t="s">
        <v>116</v>
      </c>
      <c r="E24" s="266" t="s">
        <v>180</v>
      </c>
      <c r="F24" s="240" t="s">
        <v>96</v>
      </c>
      <c r="G24" s="241"/>
      <c r="H24" s="257" t="s">
        <v>122</v>
      </c>
      <c r="I24" s="1"/>
      <c r="J24" s="1"/>
      <c r="K24" s="1"/>
      <c r="L24" s="5"/>
      <c r="M24" s="227"/>
      <c r="N24" s="227"/>
    </row>
    <row r="25" spans="2:14" s="2" customFormat="1" ht="40.5" customHeight="1" thickBot="1">
      <c r="B25" s="262"/>
      <c r="C25" s="260"/>
      <c r="D25" s="260"/>
      <c r="E25" s="267"/>
      <c r="F25" s="17" t="s">
        <v>81</v>
      </c>
      <c r="G25" s="18" t="s">
        <v>82</v>
      </c>
      <c r="H25" s="258"/>
      <c r="I25" s="1"/>
      <c r="J25" s="1"/>
      <c r="K25" s="1"/>
      <c r="L25" s="1"/>
      <c r="M25" s="183">
        <v>250598.89</v>
      </c>
      <c r="N25" s="183">
        <f>M25*1.05</f>
        <v>263128.8345</v>
      </c>
    </row>
    <row r="26" spans="2:14" ht="40.5" customHeight="1">
      <c r="B26" s="19" t="s">
        <v>86</v>
      </c>
      <c r="C26" s="20" t="s">
        <v>97</v>
      </c>
      <c r="D26" s="21" t="s">
        <v>98</v>
      </c>
      <c r="E26" s="22">
        <v>1.06</v>
      </c>
      <c r="F26" s="23">
        <f>$M$25/$M$26*E26</f>
        <v>24550.35336414049</v>
      </c>
      <c r="G26" s="24">
        <f>$N$25/$N$26*E26</f>
        <v>25777.871032347513</v>
      </c>
      <c r="H26" s="25">
        <f>F26-G26</f>
        <v>-1227.5176682070232</v>
      </c>
      <c r="I26" s="26"/>
      <c r="J26" s="199"/>
      <c r="K26" s="199"/>
      <c r="L26" s="27"/>
      <c r="M26" s="185">
        <f>E35-E33</f>
        <v>10.819999999999997</v>
      </c>
      <c r="N26" s="185">
        <f>E35-E33</f>
        <v>10.819999999999997</v>
      </c>
    </row>
    <row r="27" spans="2:14" ht="51">
      <c r="B27" s="28" t="s">
        <v>90</v>
      </c>
      <c r="C27" s="20" t="s">
        <v>97</v>
      </c>
      <c r="D27" s="21" t="s">
        <v>98</v>
      </c>
      <c r="E27" s="29">
        <v>1.19</v>
      </c>
      <c r="F27" s="23">
        <f t="shared" ref="F27:F34" si="0">$M$25/$M$26*E27</f>
        <v>27561.245757855831</v>
      </c>
      <c r="G27" s="24">
        <f t="shared" ref="G27:G31" si="1">$N$25/$N$26*E27</f>
        <v>28939.308045748621</v>
      </c>
      <c r="H27" s="25">
        <f t="shared" ref="H27:H32" si="2">F27-G27</f>
        <v>-1378.0622878927898</v>
      </c>
      <c r="I27" s="31"/>
      <c r="J27" s="2"/>
      <c r="K27" s="2"/>
      <c r="L27" s="2"/>
      <c r="M27" s="186"/>
      <c r="N27" s="186"/>
    </row>
    <row r="28" spans="2:14" ht="30" customHeight="1">
      <c r="B28" s="32" t="s">
        <v>83</v>
      </c>
      <c r="C28" s="20" t="s">
        <v>97</v>
      </c>
      <c r="D28" s="21" t="s">
        <v>98</v>
      </c>
      <c r="E28" s="29">
        <v>0.32</v>
      </c>
      <c r="F28" s="23">
        <f t="shared" si="0"/>
        <v>7411.4274306839216</v>
      </c>
      <c r="G28" s="24">
        <f t="shared" si="1"/>
        <v>7781.9988022181169</v>
      </c>
      <c r="H28" s="25">
        <f t="shared" si="2"/>
        <v>-370.57137153419535</v>
      </c>
      <c r="I28" s="33"/>
      <c r="L28" s="5"/>
    </row>
    <row r="29" spans="2:14" ht="25.5">
      <c r="B29" s="32" t="s">
        <v>84</v>
      </c>
      <c r="C29" s="34" t="s">
        <v>99</v>
      </c>
      <c r="D29" s="21" t="s">
        <v>98</v>
      </c>
      <c r="E29" s="29">
        <v>0.27</v>
      </c>
      <c r="F29" s="23">
        <f t="shared" si="0"/>
        <v>6253.3918946395588</v>
      </c>
      <c r="G29" s="24">
        <f t="shared" si="1"/>
        <v>6566.0614893715365</v>
      </c>
      <c r="H29" s="25">
        <f t="shared" si="2"/>
        <v>-312.66959473197767</v>
      </c>
      <c r="I29" s="33"/>
      <c r="L29" s="5"/>
    </row>
    <row r="30" spans="2:14" s="2" customFormat="1" ht="51">
      <c r="B30" s="28" t="s">
        <v>87</v>
      </c>
      <c r="C30" s="20" t="s">
        <v>137</v>
      </c>
      <c r="D30" s="21" t="s">
        <v>98</v>
      </c>
      <c r="E30" s="29">
        <v>1.18</v>
      </c>
      <c r="F30" s="23">
        <f t="shared" si="0"/>
        <v>27329.638650646961</v>
      </c>
      <c r="G30" s="24">
        <f t="shared" si="1"/>
        <v>28696.120583179305</v>
      </c>
      <c r="H30" s="25">
        <f t="shared" si="2"/>
        <v>-1366.4819325323442</v>
      </c>
      <c r="I30" s="33"/>
      <c r="J30" s="1"/>
      <c r="K30" s="1"/>
      <c r="L30" s="1"/>
      <c r="M30" s="182"/>
      <c r="N30" s="182"/>
    </row>
    <row r="31" spans="2:14" ht="213.75" customHeight="1">
      <c r="B31" s="28" t="s">
        <v>121</v>
      </c>
      <c r="C31" s="20" t="s">
        <v>100</v>
      </c>
      <c r="D31" s="21" t="s">
        <v>98</v>
      </c>
      <c r="E31" s="29">
        <v>5.61</v>
      </c>
      <c r="F31" s="23">
        <f t="shared" si="0"/>
        <v>129931.58714417751</v>
      </c>
      <c r="G31" s="24">
        <f t="shared" si="1"/>
        <v>136428.16650138638</v>
      </c>
      <c r="H31" s="25">
        <f t="shared" si="2"/>
        <v>-6496.5793572088733</v>
      </c>
      <c r="I31" s="31"/>
      <c r="J31" s="2"/>
      <c r="K31" s="2"/>
      <c r="L31" s="4"/>
      <c r="M31" s="186"/>
      <c r="N31" s="186"/>
    </row>
    <row r="32" spans="2:14" ht="105.75" customHeight="1">
      <c r="B32" s="28" t="s">
        <v>102</v>
      </c>
      <c r="C32" s="20" t="s">
        <v>97</v>
      </c>
      <c r="D32" s="21" t="s">
        <v>98</v>
      </c>
      <c r="E32" s="29">
        <v>0.24</v>
      </c>
      <c r="F32" s="23">
        <f t="shared" si="0"/>
        <v>5558.5705730129412</v>
      </c>
      <c r="G32" s="24">
        <f t="shared" ref="G32" si="3">$N$25/$N$26*E32</f>
        <v>5836.4991016635877</v>
      </c>
      <c r="H32" s="25">
        <f t="shared" si="2"/>
        <v>-277.92852865064651</v>
      </c>
      <c r="I32" s="33"/>
    </row>
    <row r="33" spans="2:14" ht="27.75" customHeight="1">
      <c r="B33" s="32" t="s">
        <v>91</v>
      </c>
      <c r="C33" s="20" t="s">
        <v>97</v>
      </c>
      <c r="D33" s="21" t="s">
        <v>98</v>
      </c>
      <c r="E33" s="29">
        <v>4.3</v>
      </c>
      <c r="F33" s="23">
        <v>99591.06</v>
      </c>
      <c r="G33" s="30">
        <v>86577</v>
      </c>
      <c r="H33" s="25">
        <f>F33-G33</f>
        <v>13014.059999999998</v>
      </c>
      <c r="I33" s="33"/>
      <c r="L33" s="5"/>
    </row>
    <row r="34" spans="2:14" s="66" customFormat="1" ht="18" customHeight="1" thickBot="1">
      <c r="B34" s="62" t="s">
        <v>85</v>
      </c>
      <c r="C34" s="36" t="s">
        <v>100</v>
      </c>
      <c r="D34" s="37" t="s">
        <v>98</v>
      </c>
      <c r="E34" s="38">
        <v>0.95</v>
      </c>
      <c r="F34" s="23">
        <f t="shared" si="0"/>
        <v>22002.67518484289</v>
      </c>
      <c r="G34" s="24">
        <f t="shared" ref="G34" si="4">$N$25/$N$26*E34</f>
        <v>23102.808944085034</v>
      </c>
      <c r="H34" s="25">
        <f>F34-G34</f>
        <v>-1100.1337592421442</v>
      </c>
      <c r="I34" s="33"/>
      <c r="J34" s="1"/>
      <c r="K34" s="1"/>
      <c r="L34" s="1"/>
      <c r="M34" s="182"/>
      <c r="N34" s="182"/>
    </row>
    <row r="35" spans="2:14" s="3" customFormat="1" ht="16.5" thickBot="1">
      <c r="B35" s="39" t="s">
        <v>89</v>
      </c>
      <c r="C35" s="40"/>
      <c r="D35" s="40"/>
      <c r="E35" s="41">
        <f>SUM(E26:E34)</f>
        <v>15.119999999999997</v>
      </c>
      <c r="F35" s="42">
        <f>SUM(F26:F34)</f>
        <v>350189.95000000007</v>
      </c>
      <c r="G35" s="43">
        <f>SUM(G26:G34)</f>
        <v>349705.83450000011</v>
      </c>
      <c r="H35" s="44">
        <f>SUM(H26:H34)</f>
        <v>484.11550000000352</v>
      </c>
      <c r="I35" s="65"/>
      <c r="J35" s="1"/>
      <c r="K35" s="1"/>
      <c r="L35" s="1"/>
      <c r="M35" s="182"/>
      <c r="N35" s="182"/>
    </row>
    <row r="36" spans="2:14">
      <c r="B36" s="5"/>
      <c r="C36" s="5"/>
      <c r="D36" s="5"/>
      <c r="E36" s="14"/>
      <c r="F36" s="14"/>
      <c r="G36" s="14"/>
      <c r="H36" s="3"/>
    </row>
    <row r="37" spans="2:14" ht="16.5" customHeight="1" thickBot="1">
      <c r="B37" s="242" t="s">
        <v>181</v>
      </c>
      <c r="C37" s="242"/>
      <c r="D37" s="242"/>
      <c r="E37" s="242"/>
      <c r="F37" s="242"/>
      <c r="G37" s="242"/>
      <c r="H37" s="242"/>
      <c r="I37" s="45"/>
      <c r="J37" s="45"/>
    </row>
    <row r="38" spans="2:14" ht="45" customHeight="1" thickBot="1">
      <c r="B38" s="181" t="s">
        <v>182</v>
      </c>
      <c r="C38" s="228" t="s">
        <v>101</v>
      </c>
      <c r="D38" s="229"/>
      <c r="E38" s="238" t="s">
        <v>9</v>
      </c>
      <c r="F38" s="239"/>
      <c r="G38" s="238" t="s">
        <v>10</v>
      </c>
      <c r="H38" s="245"/>
      <c r="I38" s="158"/>
      <c r="J38" s="159"/>
      <c r="K38" s="46"/>
      <c r="L38" s="47"/>
      <c r="M38" s="187"/>
      <c r="N38" s="187"/>
    </row>
    <row r="39" spans="2:14">
      <c r="B39" s="151" t="s">
        <v>11</v>
      </c>
      <c r="C39" s="230">
        <f>E39+G39</f>
        <v>3870935.4700000007</v>
      </c>
      <c r="D39" s="231"/>
      <c r="E39" s="230">
        <f>F26+F27+F28+F29+F30+F31+F32+F34+E18</f>
        <v>2816491.3600000008</v>
      </c>
      <c r="F39" s="231"/>
      <c r="G39" s="230">
        <f>F33+G18</f>
        <v>1054444.1099999999</v>
      </c>
      <c r="H39" s="246"/>
      <c r="I39" s="160"/>
      <c r="J39" s="161"/>
      <c r="K39" s="49"/>
      <c r="L39" s="49"/>
      <c r="M39" s="188"/>
    </row>
    <row r="40" spans="2:14" s="2" customFormat="1">
      <c r="B40" s="152" t="s">
        <v>12</v>
      </c>
      <c r="C40" s="232">
        <f>E40+G40</f>
        <v>3716530.11</v>
      </c>
      <c r="D40" s="233"/>
      <c r="E40" s="232">
        <f>E19+252198.08</f>
        <v>2707357.1</v>
      </c>
      <c r="F40" s="233"/>
      <c r="G40" s="232">
        <f>G19+100226.59</f>
        <v>1009173.0099999999</v>
      </c>
      <c r="H40" s="243"/>
      <c r="I40" s="160"/>
      <c r="J40" s="162"/>
      <c r="K40" s="51"/>
      <c r="L40" s="49"/>
      <c r="M40" s="188"/>
      <c r="N40" s="182"/>
    </row>
    <row r="41" spans="2:14" s="2" customFormat="1" ht="17.25" customHeight="1" thickBot="1">
      <c r="B41" s="153" t="s">
        <v>88</v>
      </c>
      <c r="C41" s="234">
        <f>E41+G41</f>
        <v>3664786.5492000002</v>
      </c>
      <c r="D41" s="235"/>
      <c r="E41" s="234">
        <f>G26+G27+G28+G29+G30+G31+G32+G34+E20</f>
        <v>2851668.5492000002</v>
      </c>
      <c r="F41" s="235"/>
      <c r="G41" s="234">
        <f>G33+G20</f>
        <v>813118</v>
      </c>
      <c r="H41" s="244"/>
      <c r="I41" s="160"/>
      <c r="J41" s="48"/>
      <c r="K41" s="33"/>
      <c r="L41" s="33"/>
      <c r="M41" s="182"/>
      <c r="N41" s="182"/>
    </row>
    <row r="42" spans="2:14" s="2" customFormat="1" ht="28.5" customHeight="1" thickBot="1">
      <c r="B42" s="154" t="s">
        <v>147</v>
      </c>
      <c r="C42" s="236">
        <f>E42+G42</f>
        <v>51743.560799999745</v>
      </c>
      <c r="D42" s="237"/>
      <c r="E42" s="247">
        <f>E40-E41</f>
        <v>-144311.44920000015</v>
      </c>
      <c r="F42" s="248"/>
      <c r="G42" s="247">
        <f>G40-G41</f>
        <v>196055.00999999989</v>
      </c>
      <c r="H42" s="249"/>
      <c r="I42" s="163"/>
      <c r="J42" s="148"/>
      <c r="K42" s="33"/>
      <c r="L42" s="33"/>
      <c r="M42" s="182"/>
      <c r="N42" s="182"/>
    </row>
    <row r="43" spans="2:14" ht="20.25" customHeight="1">
      <c r="B43" s="76"/>
      <c r="C43" s="146"/>
      <c r="D43" s="146"/>
      <c r="E43" s="148"/>
      <c r="F43" s="148"/>
      <c r="G43" s="148"/>
      <c r="H43" s="148"/>
      <c r="I43" s="52"/>
      <c r="J43" s="2"/>
      <c r="K43" s="2"/>
      <c r="L43" s="2"/>
      <c r="M43" s="186"/>
      <c r="N43" s="186"/>
    </row>
    <row r="44" spans="2:14" ht="16.5" customHeight="1">
      <c r="B44" s="52" t="s">
        <v>77</v>
      </c>
      <c r="C44" s="225" t="s">
        <v>150</v>
      </c>
      <c r="D44" s="225"/>
      <c r="E44" s="225"/>
      <c r="F44" s="251" t="s">
        <v>174</v>
      </c>
      <c r="G44" s="251"/>
      <c r="H44" s="52"/>
      <c r="I44" s="52"/>
      <c r="J44" s="2"/>
      <c r="K44" s="2"/>
      <c r="L44" s="2"/>
      <c r="M44" s="186"/>
      <c r="N44" s="186"/>
    </row>
    <row r="45" spans="2:14" ht="8.25" customHeight="1">
      <c r="B45" s="52"/>
      <c r="C45" s="53"/>
      <c r="D45" s="53"/>
      <c r="E45" s="211"/>
      <c r="F45" s="252"/>
      <c r="G45" s="252"/>
      <c r="H45" s="52"/>
      <c r="I45" s="52"/>
      <c r="J45" s="2"/>
      <c r="K45" s="2"/>
      <c r="L45" s="2"/>
      <c r="M45" s="186"/>
      <c r="N45" s="186"/>
    </row>
    <row r="46" spans="2:14" ht="15.75" customHeight="1">
      <c r="B46" s="52" t="s">
        <v>78</v>
      </c>
      <c r="C46" s="225" t="s">
        <v>150</v>
      </c>
      <c r="D46" s="225"/>
      <c r="E46" s="225"/>
      <c r="F46" s="251" t="s">
        <v>93</v>
      </c>
      <c r="G46" s="251"/>
      <c r="H46" s="52"/>
      <c r="I46" s="52"/>
    </row>
    <row r="47" spans="2:14" ht="9.75" customHeight="1">
      <c r="B47" s="52"/>
      <c r="C47" s="53"/>
      <c r="D47" s="53"/>
      <c r="E47" s="211"/>
      <c r="F47" s="251"/>
      <c r="G47" s="251"/>
      <c r="H47" s="52"/>
      <c r="I47" s="52"/>
    </row>
    <row r="48" spans="2:14" ht="15" customHeight="1">
      <c r="B48" s="52" t="s">
        <v>79</v>
      </c>
      <c r="C48" s="225" t="s">
        <v>151</v>
      </c>
      <c r="D48" s="225"/>
      <c r="E48" s="225"/>
      <c r="F48" s="251" t="s">
        <v>175</v>
      </c>
      <c r="G48" s="251"/>
      <c r="H48" s="52"/>
      <c r="I48" s="52"/>
    </row>
    <row r="49" spans="2:9" ht="10.5" customHeight="1">
      <c r="B49" s="54"/>
      <c r="C49" s="55"/>
      <c r="D49" s="55"/>
      <c r="E49" s="211"/>
      <c r="F49" s="197"/>
      <c r="G49" s="54"/>
      <c r="H49" s="56"/>
      <c r="I49" s="52"/>
    </row>
    <row r="50" spans="2:9" ht="12.75" customHeight="1">
      <c r="B50" s="52" t="s">
        <v>80</v>
      </c>
      <c r="C50" s="225" t="s">
        <v>151</v>
      </c>
      <c r="D50" s="225"/>
      <c r="E50" s="225"/>
      <c r="F50" s="251" t="s">
        <v>175</v>
      </c>
      <c r="G50" s="251"/>
      <c r="H50" s="52"/>
      <c r="I50" s="52"/>
    </row>
  </sheetData>
  <mergeCells count="57">
    <mergeCell ref="B2:H2"/>
    <mergeCell ref="B3:H3"/>
    <mergeCell ref="B4:H4"/>
    <mergeCell ref="B1:H1"/>
    <mergeCell ref="F50:G50"/>
    <mergeCell ref="B5:H6"/>
    <mergeCell ref="F47:G47"/>
    <mergeCell ref="F45:G45"/>
    <mergeCell ref="F46:G46"/>
    <mergeCell ref="B37:H37"/>
    <mergeCell ref="F44:G44"/>
    <mergeCell ref="G40:H40"/>
    <mergeCell ref="G41:H41"/>
    <mergeCell ref="G42:H42"/>
    <mergeCell ref="E41:F41"/>
    <mergeCell ref="E42:F42"/>
    <mergeCell ref="D8:E8"/>
    <mergeCell ref="B23:H23"/>
    <mergeCell ref="B24:B25"/>
    <mergeCell ref="C24:C25"/>
    <mergeCell ref="D24:D25"/>
    <mergeCell ref="E24:E25"/>
    <mergeCell ref="F24:G24"/>
    <mergeCell ref="H24:H25"/>
    <mergeCell ref="B16:H16"/>
    <mergeCell ref="C17:D17"/>
    <mergeCell ref="E17:F17"/>
    <mergeCell ref="G17:H17"/>
    <mergeCell ref="C18:D18"/>
    <mergeCell ref="E18:F18"/>
    <mergeCell ref="G18:H18"/>
    <mergeCell ref="C19:D19"/>
    <mergeCell ref="G39:H39"/>
    <mergeCell ref="C38:D38"/>
    <mergeCell ref="C39:D39"/>
    <mergeCell ref="E38:F38"/>
    <mergeCell ref="E40:F40"/>
    <mergeCell ref="G38:H38"/>
    <mergeCell ref="E39:F39"/>
    <mergeCell ref="E19:F19"/>
    <mergeCell ref="G19:H19"/>
    <mergeCell ref="C20:D20"/>
    <mergeCell ref="E20:F20"/>
    <mergeCell ref="G20:H20"/>
    <mergeCell ref="C21:D21"/>
    <mergeCell ref="E21:F21"/>
    <mergeCell ref="G21:H21"/>
    <mergeCell ref="M23:M24"/>
    <mergeCell ref="N23:N24"/>
    <mergeCell ref="C48:E48"/>
    <mergeCell ref="F48:G48"/>
    <mergeCell ref="C50:E50"/>
    <mergeCell ref="C40:D40"/>
    <mergeCell ref="C41:D41"/>
    <mergeCell ref="C42:D42"/>
    <mergeCell ref="C44:E44"/>
    <mergeCell ref="C46:E46"/>
  </mergeCells>
  <printOptions horizontalCentered="1"/>
  <pageMargins left="0.19685039370078741" right="0.19685039370078741" top="0.16" bottom="0.24" header="0.16" footer="0.24"/>
  <pageSetup paperSize="9" scale="48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Лист6">
    <tabColor rgb="FF0070C0"/>
    <pageSetUpPr fitToPage="1"/>
  </sheetPr>
  <dimension ref="A1:N51"/>
  <sheetViews>
    <sheetView zoomScale="110" zoomScaleNormal="110" workbookViewId="0">
      <selection activeCell="B27" sqref="B27"/>
    </sheetView>
  </sheetViews>
  <sheetFormatPr defaultColWidth="9.140625" defaultRowHeight="15.75"/>
  <cols>
    <col min="1" max="1" width="2.85546875" style="1" customWidth="1"/>
    <col min="2" max="2" width="55.85546875" style="1" customWidth="1"/>
    <col min="3" max="3" width="14.140625" style="14" customWidth="1"/>
    <col min="4" max="4" width="8.5703125" style="3" customWidth="1"/>
    <col min="5" max="5" width="10" style="3" customWidth="1"/>
    <col min="6" max="6" width="10.42578125" style="1" customWidth="1"/>
    <col min="7" max="7" width="10.28515625" style="1" customWidth="1"/>
    <col min="8" max="8" width="10.85546875" style="1" customWidth="1"/>
    <col min="9" max="9" width="14.7109375" style="1" customWidth="1"/>
    <col min="10" max="10" width="15.140625" style="1" customWidth="1"/>
    <col min="11" max="12" width="9.140625" style="1"/>
    <col min="13" max="13" width="18.7109375" style="182" customWidth="1"/>
    <col min="14" max="14" width="17" style="182" customWidth="1"/>
    <col min="15" max="16384" width="9.140625" style="1"/>
  </cols>
  <sheetData>
    <row r="1" spans="1:8">
      <c r="B1" s="255" t="s">
        <v>119</v>
      </c>
      <c r="C1" s="255"/>
      <c r="D1" s="255"/>
      <c r="E1" s="255"/>
      <c r="F1" s="255"/>
      <c r="G1" s="255"/>
      <c r="H1" s="255"/>
    </row>
    <row r="2" spans="1:8">
      <c r="B2" s="255" t="s">
        <v>120</v>
      </c>
      <c r="C2" s="255"/>
      <c r="D2" s="255"/>
      <c r="E2" s="255"/>
      <c r="F2" s="255"/>
      <c r="G2" s="255"/>
      <c r="H2" s="255"/>
    </row>
    <row r="3" spans="1:8">
      <c r="B3" s="255" t="s">
        <v>157</v>
      </c>
      <c r="C3" s="255"/>
      <c r="D3" s="255"/>
      <c r="E3" s="255"/>
      <c r="F3" s="255"/>
      <c r="G3" s="255"/>
      <c r="H3" s="255"/>
    </row>
    <row r="4" spans="1:8">
      <c r="B4" s="255" t="s">
        <v>183</v>
      </c>
      <c r="C4" s="255"/>
      <c r="D4" s="255"/>
      <c r="E4" s="255"/>
      <c r="F4" s="255"/>
      <c r="G4" s="255"/>
      <c r="H4" s="255"/>
    </row>
    <row r="5" spans="1:8" ht="27.75" customHeight="1">
      <c r="A5" s="68"/>
      <c r="B5" s="256" t="s">
        <v>177</v>
      </c>
      <c r="C5" s="256"/>
      <c r="D5" s="256"/>
      <c r="E5" s="256"/>
      <c r="F5" s="256"/>
      <c r="G5" s="256"/>
      <c r="H5" s="256"/>
    </row>
    <row r="6" spans="1:8" ht="15.75" customHeight="1">
      <c r="A6" s="68"/>
      <c r="B6" s="256"/>
      <c r="C6" s="256"/>
      <c r="D6" s="256"/>
      <c r="E6" s="256"/>
      <c r="F6" s="256"/>
      <c r="G6" s="256"/>
      <c r="H6" s="256"/>
    </row>
    <row r="7" spans="1:8" ht="8.25" customHeight="1">
      <c r="B7" s="67"/>
      <c r="C7" s="67"/>
      <c r="D7" s="67"/>
      <c r="E7" s="67"/>
      <c r="F7" s="67"/>
      <c r="G7" s="67"/>
    </row>
    <row r="8" spans="1:8">
      <c r="B8" s="164" t="s">
        <v>0</v>
      </c>
      <c r="C8" s="165"/>
      <c r="D8" s="172" t="s">
        <v>28</v>
      </c>
      <c r="E8" s="172"/>
    </row>
    <row r="9" spans="1:8">
      <c r="B9" s="164" t="s">
        <v>1</v>
      </c>
      <c r="C9" s="165"/>
      <c r="D9" s="203">
        <v>1963</v>
      </c>
      <c r="E9" s="203"/>
    </row>
    <row r="10" spans="1:8" ht="15.75" hidden="1" customHeight="1">
      <c r="B10" s="164" t="s">
        <v>2</v>
      </c>
      <c r="C10" s="165"/>
      <c r="D10" s="203">
        <v>4</v>
      </c>
      <c r="E10" s="203"/>
    </row>
    <row r="11" spans="1:8" ht="15.75" hidden="1" customHeight="1">
      <c r="B11" s="164" t="s">
        <v>3</v>
      </c>
      <c r="C11" s="165"/>
      <c r="D11" s="203">
        <v>32</v>
      </c>
      <c r="E11" s="203"/>
    </row>
    <row r="12" spans="1:8" ht="30.75" hidden="1" customHeight="1">
      <c r="B12" s="166" t="s">
        <v>4</v>
      </c>
      <c r="C12" s="167"/>
      <c r="D12" s="203" t="s">
        <v>29</v>
      </c>
      <c r="E12" s="203"/>
    </row>
    <row r="13" spans="1:8">
      <c r="B13" s="164" t="s">
        <v>5</v>
      </c>
      <c r="C13" s="165"/>
      <c r="D13" s="203" t="s">
        <v>106</v>
      </c>
      <c r="E13" s="203"/>
      <c r="H13" s="5"/>
    </row>
    <row r="14" spans="1:8" ht="15.75" hidden="1" customHeight="1">
      <c r="B14" s="1" t="s">
        <v>6</v>
      </c>
      <c r="D14" s="157" t="s">
        <v>7</v>
      </c>
      <c r="E14" s="157"/>
    </row>
    <row r="15" spans="1:8" ht="30.75" hidden="1" customHeight="1">
      <c r="B15" s="15" t="s">
        <v>8</v>
      </c>
      <c r="C15" s="16"/>
      <c r="D15" s="204" t="s">
        <v>18</v>
      </c>
      <c r="E15" s="157"/>
      <c r="H15" s="5"/>
    </row>
    <row r="16" spans="1:8" ht="16.5" thickBot="1">
      <c r="B16" s="242" t="s">
        <v>176</v>
      </c>
      <c r="C16" s="242"/>
      <c r="D16" s="242"/>
      <c r="E16" s="242"/>
      <c r="F16" s="242"/>
      <c r="G16" s="242"/>
      <c r="H16" s="242"/>
    </row>
    <row r="17" spans="2:14" ht="48" customHeight="1" thickBot="1">
      <c r="B17" s="181" t="s">
        <v>178</v>
      </c>
      <c r="C17" s="228" t="s">
        <v>101</v>
      </c>
      <c r="D17" s="229"/>
      <c r="E17" s="238" t="s">
        <v>9</v>
      </c>
      <c r="F17" s="239"/>
      <c r="G17" s="238" t="s">
        <v>10</v>
      </c>
      <c r="H17" s="245"/>
    </row>
    <row r="18" spans="2:14">
      <c r="B18" s="151" t="s">
        <v>11</v>
      </c>
      <c r="C18" s="268">
        <v>2389014.86</v>
      </c>
      <c r="D18" s="273"/>
      <c r="E18" s="268">
        <v>1790469.8199999998</v>
      </c>
      <c r="F18" s="273"/>
      <c r="G18" s="268">
        <v>598545.04</v>
      </c>
      <c r="H18" s="274"/>
    </row>
    <row r="19" spans="2:14">
      <c r="B19" s="152" t="s">
        <v>12</v>
      </c>
      <c r="C19" s="232">
        <v>2176075.6900000004</v>
      </c>
      <c r="D19" s="233"/>
      <c r="E19" s="232">
        <v>1631457.6400000001</v>
      </c>
      <c r="F19" s="233"/>
      <c r="G19" s="232">
        <v>544618.05000000005</v>
      </c>
      <c r="H19" s="243"/>
    </row>
    <row r="20" spans="2:14" ht="16.5" thickBot="1">
      <c r="B20" s="153" t="s">
        <v>88</v>
      </c>
      <c r="C20" s="271">
        <v>2391050.6740999995</v>
      </c>
      <c r="D20" s="277"/>
      <c r="E20" s="271">
        <v>1818959.6740999997</v>
      </c>
      <c r="F20" s="277"/>
      <c r="G20" s="271">
        <v>572091</v>
      </c>
      <c r="H20" s="276"/>
    </row>
    <row r="21" spans="2:14" ht="31.5" customHeight="1" thickBot="1">
      <c r="B21" s="154" t="s">
        <v>146</v>
      </c>
      <c r="C21" s="236">
        <f>E21+G21</f>
        <v>-214974.98409999954</v>
      </c>
      <c r="D21" s="237"/>
      <c r="E21" s="247">
        <f>E19-E20</f>
        <v>-187502.03409999958</v>
      </c>
      <c r="F21" s="248"/>
      <c r="G21" s="247">
        <f>G19-G20</f>
        <v>-27472.949999999953</v>
      </c>
      <c r="H21" s="249"/>
    </row>
    <row r="22" spans="2:14">
      <c r="B22" s="15"/>
      <c r="C22" s="16"/>
      <c r="D22" s="204"/>
      <c r="E22" s="157"/>
      <c r="H22" s="5"/>
    </row>
    <row r="23" spans="2:14" ht="34.5" customHeight="1" thickBot="1">
      <c r="B23" s="265" t="s">
        <v>179</v>
      </c>
      <c r="C23" s="265"/>
      <c r="D23" s="265"/>
      <c r="E23" s="265"/>
      <c r="F23" s="265"/>
      <c r="G23" s="265"/>
      <c r="H23" s="265"/>
      <c r="L23" s="5"/>
      <c r="M23" s="226" t="s">
        <v>148</v>
      </c>
      <c r="N23" s="226" t="s">
        <v>149</v>
      </c>
    </row>
    <row r="24" spans="2:14" ht="33" customHeight="1">
      <c r="B24" s="261" t="s">
        <v>94</v>
      </c>
      <c r="C24" s="259" t="s">
        <v>95</v>
      </c>
      <c r="D24" s="259" t="s">
        <v>116</v>
      </c>
      <c r="E24" s="266" t="s">
        <v>180</v>
      </c>
      <c r="F24" s="240" t="s">
        <v>96</v>
      </c>
      <c r="G24" s="241"/>
      <c r="H24" s="257" t="s">
        <v>122</v>
      </c>
      <c r="L24" s="5"/>
      <c r="M24" s="227"/>
      <c r="N24" s="227"/>
    </row>
    <row r="25" spans="2:14" s="199" customFormat="1" ht="43.9" customHeight="1" thickBot="1">
      <c r="B25" s="262"/>
      <c r="C25" s="260"/>
      <c r="D25" s="260"/>
      <c r="E25" s="267"/>
      <c r="F25" s="17" t="s">
        <v>81</v>
      </c>
      <c r="G25" s="18" t="s">
        <v>82</v>
      </c>
      <c r="H25" s="258"/>
      <c r="I25" s="1"/>
      <c r="J25" s="1"/>
      <c r="K25" s="1"/>
      <c r="L25" s="1"/>
      <c r="M25" s="183">
        <v>197399.16</v>
      </c>
      <c r="N25" s="183">
        <f>M25*1.05</f>
        <v>207269.11800000002</v>
      </c>
    </row>
    <row r="26" spans="2:14" s="2" customFormat="1" ht="39.75" customHeight="1">
      <c r="B26" s="19" t="s">
        <v>86</v>
      </c>
      <c r="C26" s="20" t="s">
        <v>97</v>
      </c>
      <c r="D26" s="21" t="s">
        <v>98</v>
      </c>
      <c r="E26" s="22">
        <v>1.36</v>
      </c>
      <c r="F26" s="23">
        <f>$M$25/$M$26*E26</f>
        <v>23243.537454545458</v>
      </c>
      <c r="G26" s="24">
        <f>$N$25/$N$26*E26</f>
        <v>24405.714327272733</v>
      </c>
      <c r="H26" s="25">
        <f>F26-G26</f>
        <v>-1162.1768727272756</v>
      </c>
      <c r="I26" s="26"/>
      <c r="J26" s="199"/>
      <c r="K26" s="199"/>
      <c r="L26" s="27"/>
      <c r="M26" s="185">
        <f>E35-E33</f>
        <v>11.549999999999999</v>
      </c>
      <c r="N26" s="185">
        <f>E35-E33</f>
        <v>11.549999999999999</v>
      </c>
    </row>
    <row r="27" spans="2:14" ht="51">
      <c r="B27" s="28" t="s">
        <v>90</v>
      </c>
      <c r="C27" s="20" t="s">
        <v>97</v>
      </c>
      <c r="D27" s="21" t="s">
        <v>98</v>
      </c>
      <c r="E27" s="29">
        <v>1.49</v>
      </c>
      <c r="F27" s="23">
        <f t="shared" ref="F27:F34" si="0">$M$25/$M$26*E27</f>
        <v>25465.346181818182</v>
      </c>
      <c r="G27" s="24">
        <f t="shared" ref="G27:G31" si="1">$N$25/$N$26*E27</f>
        <v>26738.613490909094</v>
      </c>
      <c r="H27" s="25">
        <f t="shared" ref="H27:H32" si="2">F27-G27</f>
        <v>-1273.267309090912</v>
      </c>
      <c r="I27" s="31"/>
      <c r="J27" s="2"/>
      <c r="K27" s="2"/>
      <c r="L27" s="2"/>
      <c r="M27" s="186"/>
      <c r="N27" s="186"/>
    </row>
    <row r="28" spans="2:14" ht="32.25" customHeight="1">
      <c r="B28" s="32" t="s">
        <v>83</v>
      </c>
      <c r="C28" s="20" t="s">
        <v>97</v>
      </c>
      <c r="D28" s="21" t="s">
        <v>98</v>
      </c>
      <c r="E28" s="29">
        <v>0.32</v>
      </c>
      <c r="F28" s="23">
        <f t="shared" si="0"/>
        <v>5469.0676363636367</v>
      </c>
      <c r="G28" s="24">
        <f t="shared" si="1"/>
        <v>5742.5210181818193</v>
      </c>
      <c r="H28" s="25">
        <f t="shared" si="2"/>
        <v>-273.45338181818261</v>
      </c>
      <c r="I28" s="33"/>
      <c r="L28" s="5"/>
    </row>
    <row r="29" spans="2:14" ht="25.5">
      <c r="B29" s="32" t="s">
        <v>84</v>
      </c>
      <c r="C29" s="34" t="s">
        <v>99</v>
      </c>
      <c r="D29" s="21" t="s">
        <v>98</v>
      </c>
      <c r="E29" s="29">
        <v>0.19</v>
      </c>
      <c r="F29" s="23">
        <f t="shared" si="0"/>
        <v>3247.2589090909091</v>
      </c>
      <c r="G29" s="24">
        <f t="shared" si="1"/>
        <v>3409.6218545454553</v>
      </c>
      <c r="H29" s="25">
        <f t="shared" si="2"/>
        <v>-162.36294545454621</v>
      </c>
      <c r="I29" s="33"/>
      <c r="L29" s="5"/>
    </row>
    <row r="30" spans="2:14" ht="51">
      <c r="B30" s="28" t="s">
        <v>87</v>
      </c>
      <c r="C30" s="20" t="s">
        <v>137</v>
      </c>
      <c r="D30" s="21" t="s">
        <v>98</v>
      </c>
      <c r="E30" s="29">
        <v>1.25</v>
      </c>
      <c r="F30" s="23">
        <f t="shared" si="0"/>
        <v>21363.545454545456</v>
      </c>
      <c r="G30" s="24">
        <f t="shared" si="1"/>
        <v>22431.722727272732</v>
      </c>
      <c r="H30" s="25">
        <f t="shared" si="2"/>
        <v>-1068.1772727272764</v>
      </c>
      <c r="I30" s="33"/>
    </row>
    <row r="31" spans="2:14" s="2" customFormat="1" ht="215.25" customHeight="1">
      <c r="B31" s="28" t="s">
        <v>121</v>
      </c>
      <c r="C31" s="20" t="s">
        <v>100</v>
      </c>
      <c r="D31" s="21" t="s">
        <v>98</v>
      </c>
      <c r="E31" s="29">
        <v>5.61</v>
      </c>
      <c r="F31" s="23">
        <f t="shared" si="0"/>
        <v>95879.592000000004</v>
      </c>
      <c r="G31" s="24">
        <f t="shared" si="1"/>
        <v>100673.57160000002</v>
      </c>
      <c r="H31" s="25">
        <f t="shared" si="2"/>
        <v>-4793.9796000000206</v>
      </c>
      <c r="I31" s="31"/>
      <c r="L31" s="4"/>
      <c r="M31" s="186"/>
      <c r="N31" s="186"/>
    </row>
    <row r="32" spans="2:14" ht="102">
      <c r="B32" s="28" t="s">
        <v>102</v>
      </c>
      <c r="C32" s="20" t="s">
        <v>97</v>
      </c>
      <c r="D32" s="21" t="s">
        <v>98</v>
      </c>
      <c r="E32" s="29">
        <v>0.24</v>
      </c>
      <c r="F32" s="23">
        <f t="shared" si="0"/>
        <v>4101.8007272727273</v>
      </c>
      <c r="G32" s="24">
        <f t="shared" ref="G32" si="3">$N$25/$N$26*E32</f>
        <v>4306.8907636363647</v>
      </c>
      <c r="H32" s="25">
        <f t="shared" si="2"/>
        <v>-205.09003636363741</v>
      </c>
      <c r="I32" s="33"/>
    </row>
    <row r="33" spans="2:14" ht="30.75" customHeight="1">
      <c r="B33" s="32" t="s">
        <v>91</v>
      </c>
      <c r="C33" s="20" t="s">
        <v>97</v>
      </c>
      <c r="D33" s="21" t="s">
        <v>98</v>
      </c>
      <c r="E33" s="29">
        <v>4</v>
      </c>
      <c r="F33" s="23">
        <v>63128.04</v>
      </c>
      <c r="G33" s="30">
        <v>219287</v>
      </c>
      <c r="H33" s="25">
        <f>F33-G33</f>
        <v>-156158.96</v>
      </c>
      <c r="I33" s="33"/>
      <c r="L33" s="5"/>
    </row>
    <row r="34" spans="2:14" s="66" customFormat="1" ht="18" customHeight="1" thickBot="1">
      <c r="B34" s="62" t="s">
        <v>85</v>
      </c>
      <c r="C34" s="36" t="s">
        <v>100</v>
      </c>
      <c r="D34" s="37" t="s">
        <v>98</v>
      </c>
      <c r="E34" s="38">
        <v>1.0900000000000001</v>
      </c>
      <c r="F34" s="23">
        <f t="shared" si="0"/>
        <v>18629.011636363637</v>
      </c>
      <c r="G34" s="24">
        <f t="shared" ref="G34" si="4">$N$25/$N$26*E34</f>
        <v>19560.462218181823</v>
      </c>
      <c r="H34" s="25">
        <f>F34-G34</f>
        <v>-931.45058181818604</v>
      </c>
      <c r="I34" s="33"/>
      <c r="J34" s="1"/>
      <c r="K34" s="1"/>
      <c r="L34" s="1"/>
      <c r="M34" s="182"/>
      <c r="N34" s="182"/>
    </row>
    <row r="35" spans="2:14" s="3" customFormat="1" ht="16.5" thickBot="1">
      <c r="B35" s="39" t="s">
        <v>89</v>
      </c>
      <c r="C35" s="40"/>
      <c r="D35" s="40"/>
      <c r="E35" s="41">
        <f>SUM(E26:E34)</f>
        <v>15.549999999999999</v>
      </c>
      <c r="F35" s="42">
        <f>SUM(F26:F34)</f>
        <v>260527.2</v>
      </c>
      <c r="G35" s="43">
        <f>SUM(G26:G34)</f>
        <v>426556.11800000002</v>
      </c>
      <c r="H35" s="44">
        <f>SUM(H26:H34)</f>
        <v>-166028.91800000003</v>
      </c>
      <c r="I35" s="65"/>
      <c r="J35" s="5"/>
      <c r="K35" s="5"/>
      <c r="L35" s="1"/>
      <c r="M35" s="182"/>
      <c r="N35" s="182"/>
    </row>
    <row r="36" spans="2:14">
      <c r="B36" s="5"/>
      <c r="C36" s="5"/>
      <c r="D36" s="5"/>
      <c r="E36" s="14"/>
      <c r="F36" s="14"/>
      <c r="G36" s="14"/>
      <c r="H36" s="3"/>
    </row>
    <row r="37" spans="2:14" ht="16.5" customHeight="1" thickBot="1">
      <c r="B37" s="242" t="s">
        <v>181</v>
      </c>
      <c r="C37" s="242"/>
      <c r="D37" s="242"/>
      <c r="E37" s="242"/>
      <c r="F37" s="242"/>
      <c r="G37" s="242"/>
      <c r="H37" s="242"/>
      <c r="I37" s="45"/>
      <c r="J37" s="45"/>
    </row>
    <row r="38" spans="2:14" ht="55.5" customHeight="1" thickBot="1">
      <c r="B38" s="181" t="s">
        <v>182</v>
      </c>
      <c r="C38" s="228" t="s">
        <v>101</v>
      </c>
      <c r="D38" s="229"/>
      <c r="E38" s="238" t="s">
        <v>9</v>
      </c>
      <c r="F38" s="239"/>
      <c r="G38" s="238" t="s">
        <v>10</v>
      </c>
      <c r="H38" s="245"/>
      <c r="I38" s="170"/>
      <c r="J38" s="159"/>
      <c r="K38" s="46"/>
      <c r="L38" s="47"/>
      <c r="M38" s="187"/>
      <c r="N38" s="187"/>
    </row>
    <row r="39" spans="2:14">
      <c r="B39" s="151" t="s">
        <v>11</v>
      </c>
      <c r="C39" s="268">
        <f>E39+G39</f>
        <v>2649542.0599999996</v>
      </c>
      <c r="D39" s="273"/>
      <c r="E39" s="268">
        <f>F26+F27+F28+F29+F30+F31+F32+F34+E18</f>
        <v>1987868.9799999997</v>
      </c>
      <c r="F39" s="273"/>
      <c r="G39" s="268">
        <f>F33+G18</f>
        <v>661673.08000000007</v>
      </c>
      <c r="H39" s="274"/>
      <c r="I39" s="160"/>
      <c r="J39" s="161"/>
      <c r="K39" s="49"/>
      <c r="L39" s="49"/>
      <c r="M39" s="188"/>
    </row>
    <row r="40" spans="2:14" s="2" customFormat="1">
      <c r="B40" s="152" t="s">
        <v>12</v>
      </c>
      <c r="C40" s="232">
        <f>E40+G40</f>
        <v>2425928.1</v>
      </c>
      <c r="D40" s="233"/>
      <c r="E40" s="232">
        <f>E19+189206.96</f>
        <v>1820664.6</v>
      </c>
      <c r="F40" s="233"/>
      <c r="G40" s="232">
        <f>G19+60645.45</f>
        <v>605263.5</v>
      </c>
      <c r="H40" s="243"/>
      <c r="I40" s="160"/>
      <c r="J40" s="162"/>
      <c r="K40" s="51"/>
      <c r="L40" s="49"/>
      <c r="M40" s="188"/>
      <c r="N40" s="182"/>
    </row>
    <row r="41" spans="2:14" s="2" customFormat="1" ht="16.5" thickBot="1">
      <c r="B41" s="153" t="s">
        <v>88</v>
      </c>
      <c r="C41" s="271">
        <f>E41+G41</f>
        <v>2817606.7920999997</v>
      </c>
      <c r="D41" s="277"/>
      <c r="E41" s="271">
        <f>G26+G27+G28+G29+G30+G31+G32+G34+E20</f>
        <v>2026228.7920999997</v>
      </c>
      <c r="F41" s="277"/>
      <c r="G41" s="271">
        <f>G33+G20</f>
        <v>791378</v>
      </c>
      <c r="H41" s="276"/>
      <c r="I41" s="160"/>
      <c r="J41" s="48"/>
      <c r="K41" s="33"/>
      <c r="L41" s="33"/>
      <c r="M41" s="182"/>
      <c r="N41" s="182"/>
    </row>
    <row r="42" spans="2:14" s="2" customFormat="1" ht="30" customHeight="1" thickBot="1">
      <c r="B42" s="154" t="s">
        <v>147</v>
      </c>
      <c r="C42" s="236">
        <f>E42+G42</f>
        <v>-391678.69209999964</v>
      </c>
      <c r="D42" s="237"/>
      <c r="E42" s="247">
        <f>E40-E41</f>
        <v>-205564.19209999964</v>
      </c>
      <c r="F42" s="248"/>
      <c r="G42" s="253">
        <f>G40-G41</f>
        <v>-186114.5</v>
      </c>
      <c r="H42" s="254"/>
      <c r="I42" s="163"/>
      <c r="J42" s="148"/>
      <c r="K42" s="33"/>
      <c r="L42" s="33"/>
      <c r="M42" s="182"/>
      <c r="N42" s="182"/>
    </row>
    <row r="43" spans="2:14" ht="15.75" customHeight="1">
      <c r="B43" s="76"/>
      <c r="C43" s="146"/>
      <c r="D43" s="146"/>
      <c r="E43" s="148"/>
      <c r="F43" s="148"/>
      <c r="G43" s="148"/>
      <c r="H43" s="148"/>
      <c r="I43" s="171"/>
      <c r="J43" s="31"/>
      <c r="K43" s="2"/>
      <c r="L43" s="2"/>
      <c r="M43" s="186"/>
      <c r="N43" s="186"/>
    </row>
    <row r="44" spans="2:14" ht="13.5" customHeight="1">
      <c r="B44" s="52" t="s">
        <v>77</v>
      </c>
      <c r="C44" s="178" t="s">
        <v>150</v>
      </c>
      <c r="D44" s="178"/>
      <c r="E44" s="178"/>
      <c r="F44" s="251" t="s">
        <v>174</v>
      </c>
      <c r="G44" s="251"/>
      <c r="H44" s="52"/>
      <c r="I44" s="171"/>
      <c r="J44" s="31"/>
      <c r="K44" s="2"/>
      <c r="L44" s="2"/>
      <c r="M44" s="186"/>
      <c r="N44" s="186"/>
    </row>
    <row r="45" spans="2:14" ht="8.25" customHeight="1">
      <c r="B45" s="52"/>
      <c r="C45" s="53"/>
      <c r="D45" s="53"/>
      <c r="E45" s="211"/>
      <c r="F45" s="52"/>
      <c r="G45" s="52"/>
      <c r="H45" s="52"/>
      <c r="I45" s="52"/>
      <c r="J45" s="2"/>
      <c r="K45" s="2"/>
      <c r="L45" s="2"/>
      <c r="M45" s="186"/>
      <c r="N45" s="186"/>
    </row>
    <row r="46" spans="2:14" ht="12" customHeight="1">
      <c r="B46" s="52" t="s">
        <v>78</v>
      </c>
      <c r="C46" s="178" t="s">
        <v>150</v>
      </c>
      <c r="D46" s="178"/>
      <c r="E46" s="178"/>
      <c r="F46" s="52" t="s">
        <v>93</v>
      </c>
      <c r="G46" s="52"/>
      <c r="H46" s="52"/>
      <c r="I46" s="52"/>
    </row>
    <row r="47" spans="2:14" ht="6.75" customHeight="1">
      <c r="B47" s="52"/>
      <c r="C47" s="53"/>
      <c r="D47" s="53"/>
      <c r="E47" s="211"/>
      <c r="F47" s="52"/>
      <c r="G47" s="52"/>
      <c r="H47" s="52"/>
      <c r="I47" s="52"/>
    </row>
    <row r="48" spans="2:14" ht="15" customHeight="1">
      <c r="B48" s="52" t="s">
        <v>79</v>
      </c>
      <c r="C48" s="178" t="s">
        <v>151</v>
      </c>
      <c r="D48" s="178"/>
      <c r="E48" s="178"/>
      <c r="F48" s="251" t="s">
        <v>175</v>
      </c>
      <c r="G48" s="251"/>
      <c r="H48" s="52"/>
      <c r="I48" s="6"/>
    </row>
    <row r="49" spans="2:9" ht="6.75" customHeight="1">
      <c r="B49" s="54"/>
      <c r="C49" s="55"/>
      <c r="D49" s="55"/>
      <c r="E49" s="211"/>
      <c r="F49" s="197"/>
      <c r="G49" s="54"/>
      <c r="H49" s="56"/>
      <c r="I49" s="52"/>
    </row>
    <row r="50" spans="2:9" ht="12.75" customHeight="1">
      <c r="B50" s="52" t="s">
        <v>80</v>
      </c>
      <c r="C50" s="178" t="s">
        <v>151</v>
      </c>
      <c r="D50" s="178"/>
      <c r="E50" s="178"/>
      <c r="F50" s="251" t="s">
        <v>175</v>
      </c>
      <c r="G50" s="251"/>
      <c r="H50" s="52"/>
      <c r="I50" s="3"/>
    </row>
    <row r="51" spans="2:9" ht="9.75" customHeight="1">
      <c r="B51" s="8"/>
      <c r="C51" s="69"/>
      <c r="D51" s="70"/>
      <c r="E51" s="211"/>
      <c r="F51" s="8"/>
      <c r="G51" s="8"/>
    </row>
  </sheetData>
  <mergeCells count="49">
    <mergeCell ref="F48:G48"/>
    <mergeCell ref="F50:G50"/>
    <mergeCell ref="F44:G44"/>
    <mergeCell ref="M23:M24"/>
    <mergeCell ref="N23:N24"/>
    <mergeCell ref="G39:H39"/>
    <mergeCell ref="G40:H40"/>
    <mergeCell ref="G41:H41"/>
    <mergeCell ref="B1:H1"/>
    <mergeCell ref="B2:H2"/>
    <mergeCell ref="B3:H3"/>
    <mergeCell ref="B4:H4"/>
    <mergeCell ref="B16:H16"/>
    <mergeCell ref="B5:H6"/>
    <mergeCell ref="C17:D17"/>
    <mergeCell ref="C18:D18"/>
    <mergeCell ref="C19:D19"/>
    <mergeCell ref="C20:D20"/>
    <mergeCell ref="E17:F17"/>
    <mergeCell ref="E18:F18"/>
    <mergeCell ref="E19:F19"/>
    <mergeCell ref="E20:F20"/>
    <mergeCell ref="C42:D42"/>
    <mergeCell ref="B23:H23"/>
    <mergeCell ref="C24:C25"/>
    <mergeCell ref="B24:B25"/>
    <mergeCell ref="D24:D25"/>
    <mergeCell ref="E24:E25"/>
    <mergeCell ref="F24:G24"/>
    <mergeCell ref="H24:H25"/>
    <mergeCell ref="G42:H42"/>
    <mergeCell ref="G38:H38"/>
    <mergeCell ref="E38:F38"/>
    <mergeCell ref="E39:F39"/>
    <mergeCell ref="E40:F40"/>
    <mergeCell ref="E41:F41"/>
    <mergeCell ref="E42:F42"/>
    <mergeCell ref="B37:H37"/>
    <mergeCell ref="C38:D38"/>
    <mergeCell ref="C39:D39"/>
    <mergeCell ref="C40:D40"/>
    <mergeCell ref="C41:D41"/>
    <mergeCell ref="C21:D21"/>
    <mergeCell ref="E21:F21"/>
    <mergeCell ref="G21:H21"/>
    <mergeCell ref="G17:H17"/>
    <mergeCell ref="G18:H18"/>
    <mergeCell ref="G19:H19"/>
    <mergeCell ref="G20:H20"/>
  </mergeCells>
  <printOptions horizontalCentered="1"/>
  <pageMargins left="0.2" right="0.2" top="0.15748031496062992" bottom="0.23622047244094491" header="0.15748031496062992" footer="0.24"/>
  <pageSetup paperSize="9" scale="48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sheetPr codeName="Лист7">
    <tabColor rgb="FF0070C0"/>
    <pageSetUpPr fitToPage="1"/>
  </sheetPr>
  <dimension ref="A1:N52"/>
  <sheetViews>
    <sheetView zoomScale="110" zoomScaleNormal="110" workbookViewId="0">
      <selection activeCell="B22" sqref="B22"/>
    </sheetView>
  </sheetViews>
  <sheetFormatPr defaultColWidth="9.140625" defaultRowHeight="15.75" outlineLevelRow="1"/>
  <cols>
    <col min="1" max="1" width="2.85546875" style="1" customWidth="1"/>
    <col min="2" max="2" width="56" style="1" customWidth="1"/>
    <col min="3" max="3" width="14.140625" style="14" customWidth="1"/>
    <col min="4" max="4" width="8.28515625" style="3" customWidth="1"/>
    <col min="5" max="5" width="9.42578125" style="3" customWidth="1"/>
    <col min="6" max="6" width="10.42578125" style="1" customWidth="1"/>
    <col min="7" max="8" width="10.28515625" style="1" customWidth="1"/>
    <col min="9" max="9" width="16.140625" style="1" customWidth="1"/>
    <col min="10" max="10" width="18.140625" style="1" customWidth="1"/>
    <col min="11" max="12" width="9.140625" style="1"/>
    <col min="13" max="13" width="16.42578125" style="182" customWidth="1"/>
    <col min="14" max="14" width="17.7109375" style="182" customWidth="1"/>
    <col min="15" max="16384" width="9.140625" style="1"/>
  </cols>
  <sheetData>
    <row r="1" spans="1:8">
      <c r="B1" s="255" t="s">
        <v>119</v>
      </c>
      <c r="C1" s="255"/>
      <c r="D1" s="255"/>
      <c r="E1" s="255"/>
      <c r="F1" s="255"/>
      <c r="G1" s="255"/>
      <c r="H1" s="255"/>
    </row>
    <row r="2" spans="1:8">
      <c r="B2" s="255" t="s">
        <v>120</v>
      </c>
      <c r="C2" s="255"/>
      <c r="D2" s="255"/>
      <c r="E2" s="255"/>
      <c r="F2" s="255"/>
      <c r="G2" s="255"/>
      <c r="H2" s="255"/>
    </row>
    <row r="3" spans="1:8">
      <c r="B3" s="255" t="s">
        <v>158</v>
      </c>
      <c r="C3" s="255"/>
      <c r="D3" s="255"/>
      <c r="E3" s="255"/>
      <c r="F3" s="255"/>
      <c r="G3" s="255"/>
      <c r="H3" s="255"/>
    </row>
    <row r="4" spans="1:8">
      <c r="B4" s="255" t="s">
        <v>183</v>
      </c>
      <c r="C4" s="255"/>
      <c r="D4" s="255"/>
      <c r="E4" s="255"/>
      <c r="F4" s="255"/>
      <c r="G4" s="255"/>
      <c r="H4" s="255"/>
    </row>
    <row r="5" spans="1:8" ht="19.5" customHeight="1">
      <c r="A5" s="71"/>
      <c r="B5" s="256" t="s">
        <v>177</v>
      </c>
      <c r="C5" s="256"/>
      <c r="D5" s="256"/>
      <c r="E5" s="256"/>
      <c r="F5" s="256"/>
      <c r="G5" s="256"/>
      <c r="H5" s="256"/>
    </row>
    <row r="6" spans="1:8" ht="20.25" customHeight="1">
      <c r="A6" s="71"/>
      <c r="B6" s="256"/>
      <c r="C6" s="256"/>
      <c r="D6" s="256"/>
      <c r="E6" s="256"/>
      <c r="F6" s="256"/>
      <c r="G6" s="256"/>
      <c r="H6" s="256"/>
    </row>
    <row r="7" spans="1:8" ht="9" customHeight="1">
      <c r="B7" s="67"/>
      <c r="C7" s="67"/>
      <c r="D7" s="67"/>
      <c r="E7" s="67"/>
      <c r="F7" s="67"/>
      <c r="G7" s="67"/>
      <c r="H7" s="67"/>
    </row>
    <row r="8" spans="1:8">
      <c r="B8" s="164" t="s">
        <v>0</v>
      </c>
      <c r="C8" s="165"/>
      <c r="D8" s="263" t="s">
        <v>30</v>
      </c>
      <c r="E8" s="263"/>
      <c r="F8" s="164"/>
    </row>
    <row r="9" spans="1:8">
      <c r="B9" s="164" t="s">
        <v>1</v>
      </c>
      <c r="C9" s="165"/>
      <c r="D9" s="203">
        <v>1965</v>
      </c>
      <c r="E9" s="203"/>
      <c r="F9" s="164"/>
    </row>
    <row r="10" spans="1:8" hidden="1" outlineLevel="1">
      <c r="B10" s="164" t="s">
        <v>2</v>
      </c>
      <c r="C10" s="165"/>
      <c r="D10" s="203">
        <v>4</v>
      </c>
      <c r="E10" s="203"/>
      <c r="F10" s="164"/>
    </row>
    <row r="11" spans="1:8" hidden="1" outlineLevel="1">
      <c r="B11" s="164" t="s">
        <v>3</v>
      </c>
      <c r="C11" s="165"/>
      <c r="D11" s="203">
        <v>32</v>
      </c>
      <c r="E11" s="203"/>
      <c r="F11" s="164"/>
    </row>
    <row r="12" spans="1:8" ht="30.75" hidden="1" customHeight="1" outlineLevel="1">
      <c r="B12" s="166" t="s">
        <v>4</v>
      </c>
      <c r="C12" s="167"/>
      <c r="D12" s="203" t="s">
        <v>31</v>
      </c>
      <c r="E12" s="203"/>
      <c r="F12" s="164"/>
    </row>
    <row r="13" spans="1:8" collapsed="1">
      <c r="B13" s="164" t="s">
        <v>5</v>
      </c>
      <c r="C13" s="165"/>
      <c r="D13" s="203" t="s">
        <v>107</v>
      </c>
      <c r="E13" s="203"/>
      <c r="F13" s="164"/>
      <c r="H13" s="5"/>
    </row>
    <row r="14" spans="1:8" hidden="1" outlineLevel="1">
      <c r="B14" s="1" t="s">
        <v>6</v>
      </c>
      <c r="D14" s="157" t="s">
        <v>7</v>
      </c>
      <c r="E14" s="157"/>
    </row>
    <row r="15" spans="1:8" ht="30.75" hidden="1" customHeight="1" outlineLevel="1">
      <c r="B15" s="15" t="s">
        <v>8</v>
      </c>
      <c r="C15" s="16"/>
      <c r="D15" s="204" t="s">
        <v>32</v>
      </c>
      <c r="E15" s="157"/>
      <c r="H15" s="5"/>
    </row>
    <row r="16" spans="1:8" ht="21.75" customHeight="1" collapsed="1" thickBot="1">
      <c r="B16" s="242" t="s">
        <v>176</v>
      </c>
      <c r="C16" s="242"/>
      <c r="D16" s="242"/>
      <c r="E16" s="242"/>
      <c r="F16" s="242"/>
      <c r="G16" s="242"/>
      <c r="H16" s="242"/>
    </row>
    <row r="17" spans="2:14" ht="46.5" customHeight="1" thickBot="1">
      <c r="B17" s="181" t="s">
        <v>178</v>
      </c>
      <c r="C17" s="228" t="s">
        <v>101</v>
      </c>
      <c r="D17" s="229"/>
      <c r="E17" s="238" t="s">
        <v>9</v>
      </c>
      <c r="F17" s="239"/>
      <c r="G17" s="238" t="s">
        <v>10</v>
      </c>
      <c r="H17" s="245"/>
    </row>
    <row r="18" spans="2:14">
      <c r="B18" s="151" t="s">
        <v>11</v>
      </c>
      <c r="C18" s="268">
        <v>2749559.48</v>
      </c>
      <c r="D18" s="269"/>
      <c r="E18" s="230">
        <v>1837267.0799999998</v>
      </c>
      <c r="F18" s="231"/>
      <c r="G18" s="230">
        <v>912292.40000000014</v>
      </c>
      <c r="H18" s="246"/>
    </row>
    <row r="19" spans="2:14">
      <c r="B19" s="152" t="s">
        <v>12</v>
      </c>
      <c r="C19" s="232">
        <v>2724904.74</v>
      </c>
      <c r="D19" s="270"/>
      <c r="E19" s="232">
        <v>1819221.04</v>
      </c>
      <c r="F19" s="233"/>
      <c r="G19" s="232">
        <v>905683.70000000019</v>
      </c>
      <c r="H19" s="243"/>
    </row>
    <row r="20" spans="2:14" ht="16.5" thickBot="1">
      <c r="B20" s="153" t="s">
        <v>88</v>
      </c>
      <c r="C20" s="271">
        <v>2802350.2128999997</v>
      </c>
      <c r="D20" s="272"/>
      <c r="E20" s="234">
        <v>1869527.2128999999</v>
      </c>
      <c r="F20" s="235"/>
      <c r="G20" s="234">
        <v>932823</v>
      </c>
      <c r="H20" s="244"/>
    </row>
    <row r="21" spans="2:14" ht="31.5" customHeight="1" thickBot="1">
      <c r="B21" s="154" t="s">
        <v>146</v>
      </c>
      <c r="C21" s="236">
        <f>E21+G21</f>
        <v>-77445.472899999702</v>
      </c>
      <c r="D21" s="237"/>
      <c r="E21" s="247">
        <f>E19-E20</f>
        <v>-50306.172899999889</v>
      </c>
      <c r="F21" s="248"/>
      <c r="G21" s="247">
        <f>G19-G20</f>
        <v>-27139.299999999814</v>
      </c>
      <c r="H21" s="249"/>
    </row>
    <row r="22" spans="2:14">
      <c r="B22" s="76"/>
      <c r="C22" s="146"/>
      <c r="D22" s="146"/>
      <c r="E22" s="148"/>
      <c r="F22" s="148"/>
      <c r="G22" s="148"/>
      <c r="H22" s="148"/>
    </row>
    <row r="23" spans="2:14" ht="31.5" customHeight="1" thickBot="1">
      <c r="B23" s="265" t="s">
        <v>179</v>
      </c>
      <c r="C23" s="265"/>
      <c r="D23" s="265"/>
      <c r="E23" s="265"/>
      <c r="F23" s="265"/>
      <c r="G23" s="265"/>
      <c r="H23" s="265"/>
      <c r="L23" s="5"/>
      <c r="M23" s="226" t="s">
        <v>148</v>
      </c>
      <c r="N23" s="226" t="s">
        <v>149</v>
      </c>
    </row>
    <row r="24" spans="2:14" ht="34.5" customHeight="1">
      <c r="B24" s="261" t="s">
        <v>94</v>
      </c>
      <c r="C24" s="259" t="s">
        <v>95</v>
      </c>
      <c r="D24" s="259" t="s">
        <v>116</v>
      </c>
      <c r="E24" s="266" t="s">
        <v>180</v>
      </c>
      <c r="F24" s="240" t="s">
        <v>96</v>
      </c>
      <c r="G24" s="241"/>
      <c r="H24" s="257" t="s">
        <v>122</v>
      </c>
      <c r="L24" s="5"/>
      <c r="M24" s="227"/>
      <c r="N24" s="227"/>
    </row>
    <row r="25" spans="2:14" ht="44.25" customHeight="1" thickBot="1">
      <c r="B25" s="262"/>
      <c r="C25" s="260"/>
      <c r="D25" s="260"/>
      <c r="E25" s="267"/>
      <c r="F25" s="17" t="s">
        <v>81</v>
      </c>
      <c r="G25" s="18" t="s">
        <v>82</v>
      </c>
      <c r="H25" s="258"/>
      <c r="M25" s="183">
        <v>193028.79</v>
      </c>
      <c r="N25" s="183">
        <f>M25*1.05</f>
        <v>202680.22950000002</v>
      </c>
    </row>
    <row r="26" spans="2:14" ht="44.25" customHeight="1">
      <c r="B26" s="19" t="s">
        <v>86</v>
      </c>
      <c r="C26" s="20" t="s">
        <v>97</v>
      </c>
      <c r="D26" s="21" t="s">
        <v>98</v>
      </c>
      <c r="E26" s="22">
        <v>1.06</v>
      </c>
      <c r="F26" s="23">
        <f>$M$25/$M$26*E26</f>
        <v>18823.414664213433</v>
      </c>
      <c r="G26" s="24">
        <f>$N$25/$N$26*E26</f>
        <v>19764.585397424104</v>
      </c>
      <c r="H26" s="25">
        <f>F26-G26</f>
        <v>-941.17073321067073</v>
      </c>
      <c r="I26" s="26"/>
      <c r="J26" s="199"/>
      <c r="K26" s="199"/>
      <c r="L26" s="27"/>
      <c r="M26" s="185">
        <f>E35-E33</f>
        <v>10.870000000000001</v>
      </c>
      <c r="N26" s="185">
        <f>E35-E33</f>
        <v>10.870000000000001</v>
      </c>
    </row>
    <row r="27" spans="2:14" ht="51">
      <c r="B27" s="28" t="s">
        <v>90</v>
      </c>
      <c r="C27" s="20" t="s">
        <v>97</v>
      </c>
      <c r="D27" s="21" t="s">
        <v>98</v>
      </c>
      <c r="E27" s="29">
        <v>1.19</v>
      </c>
      <c r="F27" s="23">
        <f t="shared" ref="F27:F32" si="0">$M$25/$M$26*E27</f>
        <v>21131.946651333947</v>
      </c>
      <c r="G27" s="24">
        <f t="shared" ref="G27:G31" si="1">$N$25/$N$26*E27</f>
        <v>22188.543983900643</v>
      </c>
      <c r="H27" s="25">
        <f t="shared" ref="H27:H32" si="2">F27-G27</f>
        <v>-1056.5973325666964</v>
      </c>
      <c r="I27" s="31"/>
      <c r="J27" s="2"/>
      <c r="K27" s="2"/>
      <c r="L27" s="2"/>
      <c r="M27" s="186"/>
      <c r="N27" s="186"/>
    </row>
    <row r="28" spans="2:14" ht="38.25" customHeight="1">
      <c r="B28" s="32" t="s">
        <v>83</v>
      </c>
      <c r="C28" s="20" t="s">
        <v>97</v>
      </c>
      <c r="D28" s="21" t="s">
        <v>98</v>
      </c>
      <c r="E28" s="29">
        <v>0.32</v>
      </c>
      <c r="F28" s="23">
        <f t="shared" si="0"/>
        <v>5682.5402759889612</v>
      </c>
      <c r="G28" s="24">
        <f t="shared" si="1"/>
        <v>5966.6672897884091</v>
      </c>
      <c r="H28" s="25">
        <f t="shared" si="2"/>
        <v>-284.12701379944792</v>
      </c>
      <c r="I28" s="33"/>
      <c r="L28" s="5"/>
    </row>
    <row r="29" spans="2:14" ht="25.5">
      <c r="B29" s="32" t="s">
        <v>84</v>
      </c>
      <c r="C29" s="34" t="s">
        <v>99</v>
      </c>
      <c r="D29" s="21" t="s">
        <v>98</v>
      </c>
      <c r="E29" s="29">
        <v>0.16</v>
      </c>
      <c r="F29" s="23">
        <f t="shared" si="0"/>
        <v>2841.2701379944806</v>
      </c>
      <c r="G29" s="24">
        <f t="shared" si="1"/>
        <v>2983.3336448942046</v>
      </c>
      <c r="H29" s="25">
        <f t="shared" si="2"/>
        <v>-142.06350689972396</v>
      </c>
      <c r="I29" s="33"/>
      <c r="L29" s="5"/>
    </row>
    <row r="30" spans="2:14" ht="51">
      <c r="B30" s="28" t="s">
        <v>87</v>
      </c>
      <c r="C30" s="20" t="s">
        <v>137</v>
      </c>
      <c r="D30" s="21" t="s">
        <v>98</v>
      </c>
      <c r="E30" s="29">
        <v>1.18</v>
      </c>
      <c r="F30" s="23">
        <f t="shared" si="0"/>
        <v>20954.367267709291</v>
      </c>
      <c r="G30" s="24">
        <f t="shared" si="1"/>
        <v>22002.085631094757</v>
      </c>
      <c r="H30" s="25">
        <f t="shared" si="2"/>
        <v>-1047.7183633854656</v>
      </c>
      <c r="I30" s="33"/>
    </row>
    <row r="31" spans="2:14" ht="215.25" customHeight="1">
      <c r="B31" s="28" t="s">
        <v>140</v>
      </c>
      <c r="C31" s="20" t="s">
        <v>100</v>
      </c>
      <c r="D31" s="21" t="s">
        <v>98</v>
      </c>
      <c r="E31" s="29">
        <v>5.61</v>
      </c>
      <c r="F31" s="23">
        <f t="shared" si="0"/>
        <v>99622.034213431471</v>
      </c>
      <c r="G31" s="24">
        <f t="shared" si="1"/>
        <v>104603.13592410304</v>
      </c>
      <c r="H31" s="25">
        <f t="shared" si="2"/>
        <v>-4981.1017106715735</v>
      </c>
      <c r="I31" s="31"/>
      <c r="J31" s="2"/>
      <c r="K31" s="2"/>
      <c r="L31" s="4"/>
      <c r="M31" s="186"/>
      <c r="N31" s="186"/>
    </row>
    <row r="32" spans="2:14" ht="111" customHeight="1">
      <c r="B32" s="28" t="s">
        <v>102</v>
      </c>
      <c r="C32" s="20" t="s">
        <v>97</v>
      </c>
      <c r="D32" s="21" t="s">
        <v>98</v>
      </c>
      <c r="E32" s="29">
        <v>0.24</v>
      </c>
      <c r="F32" s="23">
        <f t="shared" si="0"/>
        <v>4261.9052069917207</v>
      </c>
      <c r="G32" s="24">
        <f t="shared" ref="G32:G34" si="3">$N$25/$N$26*E32</f>
        <v>4475.0004673413059</v>
      </c>
      <c r="H32" s="25">
        <f t="shared" si="2"/>
        <v>-213.09526034958526</v>
      </c>
      <c r="I32" s="33"/>
    </row>
    <row r="33" spans="2:14" ht="36">
      <c r="B33" s="32" t="s">
        <v>91</v>
      </c>
      <c r="C33" s="20" t="s">
        <v>97</v>
      </c>
      <c r="D33" s="21" t="s">
        <v>98</v>
      </c>
      <c r="E33" s="29">
        <v>6.38</v>
      </c>
      <c r="F33" s="23">
        <v>113293.89</v>
      </c>
      <c r="G33" s="30">
        <v>64554</v>
      </c>
      <c r="H33" s="25">
        <f>F33-G33</f>
        <v>48739.89</v>
      </c>
      <c r="I33" s="33"/>
      <c r="L33" s="5"/>
    </row>
    <row r="34" spans="2:14" ht="16.5" thickBot="1">
      <c r="B34" s="62" t="s">
        <v>85</v>
      </c>
      <c r="C34" s="36" t="s">
        <v>100</v>
      </c>
      <c r="D34" s="37" t="s">
        <v>98</v>
      </c>
      <c r="E34" s="38">
        <v>1.1100000000000001</v>
      </c>
      <c r="F34" s="23">
        <f>$M$25/$M$26*E34</f>
        <v>19711.311582336708</v>
      </c>
      <c r="G34" s="24">
        <f t="shared" si="3"/>
        <v>20696.877161453544</v>
      </c>
      <c r="H34" s="25">
        <f>F34-G34</f>
        <v>-985.56557911683558</v>
      </c>
      <c r="I34" s="33"/>
    </row>
    <row r="35" spans="2:14" ht="16.5" thickBot="1">
      <c r="B35" s="39" t="s">
        <v>89</v>
      </c>
      <c r="C35" s="40"/>
      <c r="D35" s="40"/>
      <c r="E35" s="41">
        <f>SUM(E26:E34)</f>
        <v>17.25</v>
      </c>
      <c r="F35" s="42">
        <f>SUM(F26:F34)</f>
        <v>306322.68</v>
      </c>
      <c r="G35" s="43">
        <f>SUM(G26:G34)</f>
        <v>267234.22950000002</v>
      </c>
      <c r="H35" s="44">
        <f>SUM(H26:H34)</f>
        <v>39088.450499999992</v>
      </c>
      <c r="I35" s="65"/>
    </row>
    <row r="36" spans="2:14">
      <c r="B36" s="5"/>
      <c r="C36" s="5"/>
      <c r="D36" s="5"/>
      <c r="E36" s="14"/>
      <c r="F36" s="14"/>
      <c r="G36" s="14"/>
      <c r="H36" s="3"/>
    </row>
    <row r="37" spans="2:14" ht="16.5" customHeight="1" thickBot="1">
      <c r="B37" s="242" t="s">
        <v>181</v>
      </c>
      <c r="C37" s="242"/>
      <c r="D37" s="242"/>
      <c r="E37" s="242"/>
      <c r="F37" s="242"/>
      <c r="G37" s="242"/>
      <c r="H37" s="242"/>
      <c r="I37" s="45"/>
      <c r="J37" s="45"/>
    </row>
    <row r="38" spans="2:14" ht="46.5" customHeight="1" thickBot="1">
      <c r="B38" s="181" t="s">
        <v>182</v>
      </c>
      <c r="C38" s="228" t="s">
        <v>101</v>
      </c>
      <c r="D38" s="229"/>
      <c r="E38" s="238" t="s">
        <v>9</v>
      </c>
      <c r="F38" s="239"/>
      <c r="G38" s="238" t="s">
        <v>10</v>
      </c>
      <c r="H38" s="245"/>
      <c r="I38" s="170"/>
      <c r="J38" s="159"/>
      <c r="K38" s="46"/>
      <c r="L38" s="47"/>
      <c r="M38" s="187"/>
      <c r="N38" s="187"/>
    </row>
    <row r="39" spans="2:14">
      <c r="B39" s="151" t="s">
        <v>11</v>
      </c>
      <c r="C39" s="230">
        <f>E39+G39</f>
        <v>3055882.16</v>
      </c>
      <c r="D39" s="231"/>
      <c r="E39" s="230">
        <f>F26+F27+F28+F29+F30+F31+F32+F34+E18</f>
        <v>2030295.8699999999</v>
      </c>
      <c r="F39" s="231"/>
      <c r="G39" s="230">
        <f>F33+G18</f>
        <v>1025586.2900000002</v>
      </c>
      <c r="H39" s="246"/>
      <c r="I39" s="160"/>
      <c r="J39" s="161"/>
      <c r="K39" s="49"/>
      <c r="L39" s="49"/>
      <c r="M39" s="188"/>
    </row>
    <row r="40" spans="2:14">
      <c r="B40" s="152" t="s">
        <v>12</v>
      </c>
      <c r="C40" s="232">
        <f>E40+G40</f>
        <v>3033003.43</v>
      </c>
      <c r="D40" s="233"/>
      <c r="E40" s="232">
        <f>E19+194146.79</f>
        <v>2013367.83</v>
      </c>
      <c r="F40" s="233"/>
      <c r="G40" s="232">
        <f>G19+113951.9</f>
        <v>1019635.6000000002</v>
      </c>
      <c r="H40" s="243"/>
      <c r="I40" s="160"/>
      <c r="J40" s="162"/>
      <c r="K40" s="51"/>
      <c r="L40" s="49"/>
      <c r="M40" s="188"/>
    </row>
    <row r="41" spans="2:14" ht="16.5" thickBot="1">
      <c r="B41" s="153" t="s">
        <v>88</v>
      </c>
      <c r="C41" s="234">
        <f>E41+G41</f>
        <v>3069584.4424000001</v>
      </c>
      <c r="D41" s="235"/>
      <c r="E41" s="234">
        <f>G26+G27+G28+G29+G30+G31+G32+G34+E20</f>
        <v>2072207.4423999998</v>
      </c>
      <c r="F41" s="235"/>
      <c r="G41" s="234">
        <f>G33+G20</f>
        <v>997377</v>
      </c>
      <c r="H41" s="244"/>
      <c r="I41" s="160"/>
      <c r="J41" s="48"/>
      <c r="K41" s="33"/>
      <c r="L41" s="33"/>
    </row>
    <row r="42" spans="2:14" ht="36.75" customHeight="1" thickBot="1">
      <c r="B42" s="154" t="s">
        <v>147</v>
      </c>
      <c r="C42" s="236">
        <f>E42+G42</f>
        <v>-36581.012399999541</v>
      </c>
      <c r="D42" s="237"/>
      <c r="E42" s="247">
        <f>E40-E41</f>
        <v>-58839.612399999751</v>
      </c>
      <c r="F42" s="248"/>
      <c r="G42" s="247">
        <f>G40-G41</f>
        <v>22258.60000000021</v>
      </c>
      <c r="H42" s="249"/>
      <c r="I42" s="163"/>
      <c r="J42" s="148"/>
      <c r="K42" s="33"/>
      <c r="L42" s="33"/>
    </row>
    <row r="43" spans="2:14" ht="11.25" customHeight="1">
      <c r="B43" s="76"/>
      <c r="C43" s="146"/>
      <c r="D43" s="146"/>
      <c r="E43" s="148"/>
      <c r="F43" s="148"/>
      <c r="G43" s="148"/>
      <c r="H43" s="148"/>
      <c r="I43" s="171"/>
      <c r="J43" s="31"/>
      <c r="K43" s="2"/>
      <c r="L43" s="2"/>
      <c r="M43" s="186"/>
      <c r="N43" s="186"/>
    </row>
    <row r="44" spans="2:14" ht="15.75" customHeight="1">
      <c r="B44" s="52" t="s">
        <v>77</v>
      </c>
      <c r="C44" s="225" t="s">
        <v>150</v>
      </c>
      <c r="D44" s="225"/>
      <c r="E44" s="225"/>
      <c r="F44" s="251" t="s">
        <v>174</v>
      </c>
      <c r="G44" s="251"/>
      <c r="H44" s="52"/>
      <c r="I44" s="171"/>
      <c r="J44" s="31"/>
      <c r="K44" s="2"/>
      <c r="L44" s="2"/>
      <c r="M44" s="186"/>
      <c r="N44" s="186"/>
    </row>
    <row r="45" spans="2:14" ht="5.25" customHeight="1">
      <c r="B45" s="52"/>
      <c r="C45" s="53"/>
      <c r="D45" s="53"/>
      <c r="E45" s="211"/>
      <c r="F45" s="252"/>
      <c r="G45" s="252"/>
      <c r="H45" s="52"/>
      <c r="I45" s="52"/>
      <c r="J45" s="2"/>
      <c r="K45" s="2"/>
      <c r="L45" s="2"/>
      <c r="M45" s="186"/>
      <c r="N45" s="186"/>
    </row>
    <row r="46" spans="2:14" ht="15" customHeight="1">
      <c r="B46" s="52" t="s">
        <v>78</v>
      </c>
      <c r="C46" s="225" t="s">
        <v>150</v>
      </c>
      <c r="D46" s="225"/>
      <c r="E46" s="225"/>
      <c r="F46" s="251" t="s">
        <v>93</v>
      </c>
      <c r="G46" s="251"/>
      <c r="H46" s="52"/>
      <c r="I46" s="52"/>
    </row>
    <row r="47" spans="2:14" ht="8.25" customHeight="1">
      <c r="B47" s="52"/>
      <c r="C47" s="53"/>
      <c r="D47" s="53"/>
      <c r="E47" s="211"/>
      <c r="F47" s="251"/>
      <c r="G47" s="251"/>
      <c r="H47" s="52"/>
      <c r="I47" s="52"/>
    </row>
    <row r="48" spans="2:14" ht="12.75" customHeight="1">
      <c r="B48" s="52" t="s">
        <v>79</v>
      </c>
      <c r="C48" s="225" t="s">
        <v>151</v>
      </c>
      <c r="D48" s="225"/>
      <c r="E48" s="225"/>
      <c r="F48" s="251" t="s">
        <v>175</v>
      </c>
      <c r="G48" s="251"/>
      <c r="H48" s="52"/>
      <c r="I48" s="52"/>
    </row>
    <row r="49" spans="2:9" ht="7.5" customHeight="1">
      <c r="B49" s="54"/>
      <c r="C49" s="55"/>
      <c r="D49" s="55"/>
      <c r="E49" s="211"/>
      <c r="F49" s="197"/>
      <c r="G49" s="54"/>
      <c r="H49" s="56"/>
      <c r="I49" s="52"/>
    </row>
    <row r="50" spans="2:9" ht="12.75" customHeight="1">
      <c r="B50" s="52" t="s">
        <v>80</v>
      </c>
      <c r="C50" s="225" t="s">
        <v>151</v>
      </c>
      <c r="D50" s="225"/>
      <c r="E50" s="225"/>
      <c r="F50" s="251" t="s">
        <v>175</v>
      </c>
      <c r="G50" s="251"/>
      <c r="H50" s="52"/>
      <c r="I50" s="52"/>
    </row>
    <row r="51" spans="2:9">
      <c r="B51" s="8"/>
      <c r="C51" s="69"/>
      <c r="D51" s="70"/>
      <c r="E51" s="211"/>
      <c r="F51" s="8"/>
      <c r="G51" s="8"/>
      <c r="H51" s="52"/>
      <c r="I51" s="52"/>
    </row>
    <row r="52" spans="2:9">
      <c r="H52" s="52"/>
      <c r="I52" s="52"/>
    </row>
  </sheetData>
  <mergeCells count="57">
    <mergeCell ref="B1:H1"/>
    <mergeCell ref="F44:G44"/>
    <mergeCell ref="E38:F38"/>
    <mergeCell ref="F45:G45"/>
    <mergeCell ref="D8:E8"/>
    <mergeCell ref="B2:H2"/>
    <mergeCell ref="B3:H3"/>
    <mergeCell ref="B4:H4"/>
    <mergeCell ref="G38:H38"/>
    <mergeCell ref="B23:H23"/>
    <mergeCell ref="B24:B25"/>
    <mergeCell ref="C24:C25"/>
    <mergeCell ref="B5:H6"/>
    <mergeCell ref="G42:H42"/>
    <mergeCell ref="G39:H39"/>
    <mergeCell ref="G40:H40"/>
    <mergeCell ref="B16:H16"/>
    <mergeCell ref="G19:H19"/>
    <mergeCell ref="C20:D20"/>
    <mergeCell ref="C19:D19"/>
    <mergeCell ref="E19:F19"/>
    <mergeCell ref="C17:D17"/>
    <mergeCell ref="E17:F17"/>
    <mergeCell ref="G17:H17"/>
    <mergeCell ref="C18:D18"/>
    <mergeCell ref="E18:F18"/>
    <mergeCell ref="G18:H18"/>
    <mergeCell ref="E20:F20"/>
    <mergeCell ref="G20:H20"/>
    <mergeCell ref="F50:G50"/>
    <mergeCell ref="E39:F39"/>
    <mergeCell ref="F46:G46"/>
    <mergeCell ref="E41:F41"/>
    <mergeCell ref="E42:F42"/>
    <mergeCell ref="E40:F40"/>
    <mergeCell ref="F47:G47"/>
    <mergeCell ref="C44:E44"/>
    <mergeCell ref="C46:E46"/>
    <mergeCell ref="C48:E48"/>
    <mergeCell ref="F48:G48"/>
    <mergeCell ref="C50:E50"/>
    <mergeCell ref="C41:D41"/>
    <mergeCell ref="C42:D42"/>
    <mergeCell ref="G41:H41"/>
    <mergeCell ref="G21:H21"/>
    <mergeCell ref="H24:H25"/>
    <mergeCell ref="B37:H37"/>
    <mergeCell ref="D24:D25"/>
    <mergeCell ref="E24:E25"/>
    <mergeCell ref="F24:G24"/>
    <mergeCell ref="C21:D21"/>
    <mergeCell ref="E21:F21"/>
    <mergeCell ref="M23:M24"/>
    <mergeCell ref="N23:N24"/>
    <mergeCell ref="C38:D38"/>
    <mergeCell ref="C39:D39"/>
    <mergeCell ref="C40:D40"/>
  </mergeCells>
  <printOptions horizontalCentered="1"/>
  <pageMargins left="0.19685039370078741" right="0.19685039370078741" top="0.15748031496062992" bottom="0.23622047244094491" header="0.16" footer="0.14000000000000001"/>
  <pageSetup paperSize="9" scale="48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sheetPr codeName="Лист8">
    <tabColor rgb="FF0070C0"/>
    <pageSetUpPr fitToPage="1"/>
  </sheetPr>
  <dimension ref="A1:V54"/>
  <sheetViews>
    <sheetView zoomScale="110" zoomScaleNormal="110" workbookViewId="0">
      <selection activeCell="B23" sqref="B23:H23"/>
    </sheetView>
  </sheetViews>
  <sheetFormatPr defaultColWidth="9.140625" defaultRowHeight="15.75" outlineLevelRow="1"/>
  <cols>
    <col min="1" max="1" width="2.85546875" style="1" customWidth="1"/>
    <col min="2" max="2" width="55.85546875" style="1" customWidth="1"/>
    <col min="3" max="3" width="15.140625" style="3" customWidth="1"/>
    <col min="4" max="4" width="9.140625" style="3" customWidth="1"/>
    <col min="5" max="5" width="10" style="3" customWidth="1"/>
    <col min="6" max="6" width="10.28515625" style="1" customWidth="1"/>
    <col min="7" max="7" width="10.42578125" style="1" customWidth="1"/>
    <col min="8" max="8" width="10.5703125" style="1" customWidth="1"/>
    <col min="9" max="9" width="15.7109375" style="1" customWidth="1"/>
    <col min="10" max="10" width="18.7109375" style="1" customWidth="1"/>
    <col min="11" max="12" width="9.140625" style="182"/>
    <col min="13" max="13" width="15.85546875" style="182" customWidth="1"/>
    <col min="14" max="14" width="16.140625" style="182" customWidth="1"/>
    <col min="15" max="15" width="15.140625" style="182" customWidth="1"/>
    <col min="16" max="16" width="16.42578125" style="182" hidden="1" customWidth="1"/>
    <col min="17" max="17" width="12.42578125" style="182" customWidth="1"/>
    <col min="18" max="18" width="13.140625" style="182" customWidth="1"/>
    <col min="19" max="19" width="14.42578125" style="1" customWidth="1"/>
    <col min="20" max="20" width="9.140625" style="1"/>
    <col min="21" max="22" width="11.7109375" style="1" customWidth="1"/>
    <col min="23" max="16384" width="9.140625" style="1"/>
  </cols>
  <sheetData>
    <row r="1" spans="1:22">
      <c r="B1" s="255" t="s">
        <v>119</v>
      </c>
      <c r="C1" s="255"/>
      <c r="D1" s="255"/>
      <c r="E1" s="255"/>
      <c r="F1" s="255"/>
      <c r="G1" s="255"/>
      <c r="H1" s="255"/>
    </row>
    <row r="2" spans="1:22">
      <c r="B2" s="255" t="s">
        <v>120</v>
      </c>
      <c r="C2" s="255"/>
      <c r="D2" s="255"/>
      <c r="E2" s="255"/>
      <c r="F2" s="255"/>
      <c r="G2" s="255"/>
      <c r="H2" s="255"/>
    </row>
    <row r="3" spans="1:22">
      <c r="B3" s="255" t="s">
        <v>159</v>
      </c>
      <c r="C3" s="255"/>
      <c r="D3" s="255"/>
      <c r="E3" s="255"/>
      <c r="F3" s="255"/>
      <c r="G3" s="255"/>
      <c r="H3" s="255"/>
    </row>
    <row r="4" spans="1:22">
      <c r="B4" s="255" t="s">
        <v>183</v>
      </c>
      <c r="C4" s="255"/>
      <c r="D4" s="255"/>
      <c r="E4" s="255"/>
      <c r="F4" s="255"/>
      <c r="G4" s="255"/>
      <c r="H4" s="255"/>
    </row>
    <row r="5" spans="1:22" ht="19.5" customHeight="1">
      <c r="A5" s="71"/>
      <c r="B5" s="256" t="s">
        <v>177</v>
      </c>
      <c r="C5" s="256"/>
      <c r="D5" s="256"/>
      <c r="E5" s="256"/>
      <c r="F5" s="256"/>
      <c r="G5" s="256"/>
      <c r="H5" s="256"/>
      <c r="O5" s="283"/>
      <c r="P5" s="283"/>
      <c r="Q5" s="283"/>
      <c r="R5" s="283"/>
      <c r="S5" s="283"/>
      <c r="T5" s="72"/>
      <c r="U5" s="72"/>
      <c r="V5" s="71"/>
    </row>
    <row r="6" spans="1:22" ht="20.25" customHeight="1">
      <c r="A6" s="71"/>
      <c r="B6" s="256"/>
      <c r="C6" s="256"/>
      <c r="D6" s="256"/>
      <c r="E6" s="256"/>
      <c r="F6" s="256"/>
      <c r="G6" s="256"/>
      <c r="H6" s="256"/>
      <c r="O6" s="283"/>
      <c r="P6" s="283"/>
      <c r="Q6" s="283"/>
      <c r="R6" s="283"/>
      <c r="S6" s="283"/>
      <c r="T6" s="72"/>
      <c r="U6" s="72"/>
      <c r="V6" s="71"/>
    </row>
    <row r="7" spans="1:22" ht="8.25" customHeight="1">
      <c r="B7" s="67"/>
      <c r="C7" s="67"/>
      <c r="D7" s="67"/>
      <c r="E7" s="67"/>
      <c r="F7" s="67"/>
      <c r="G7" s="67"/>
      <c r="H7" s="67"/>
      <c r="O7" s="283"/>
      <c r="P7" s="283"/>
      <c r="Q7" s="283"/>
      <c r="R7" s="283"/>
      <c r="S7" s="283"/>
      <c r="T7" s="33"/>
      <c r="U7" s="33"/>
    </row>
    <row r="8" spans="1:22">
      <c r="B8" s="164" t="s">
        <v>0</v>
      </c>
      <c r="C8" s="173"/>
      <c r="D8" s="263" t="s">
        <v>33</v>
      </c>
      <c r="E8" s="263"/>
      <c r="O8" s="219"/>
      <c r="P8" s="217"/>
      <c r="Q8" s="284"/>
      <c r="R8" s="284"/>
      <c r="S8" s="284"/>
      <c r="T8" s="33"/>
      <c r="U8" s="33"/>
    </row>
    <row r="9" spans="1:22">
      <c r="B9" s="164" t="s">
        <v>1</v>
      </c>
      <c r="C9" s="173"/>
      <c r="D9" s="203">
        <v>1964</v>
      </c>
      <c r="E9" s="203"/>
      <c r="O9" s="219"/>
      <c r="P9" s="217"/>
      <c r="Q9" s="220"/>
      <c r="R9" s="220"/>
      <c r="S9" s="206"/>
      <c r="T9" s="33"/>
      <c r="U9" s="33"/>
    </row>
    <row r="10" spans="1:22" ht="15.75" hidden="1" customHeight="1" outlineLevel="1">
      <c r="B10" s="164" t="s">
        <v>2</v>
      </c>
      <c r="C10" s="173"/>
      <c r="D10" s="203">
        <v>4</v>
      </c>
      <c r="E10" s="203"/>
      <c r="O10" s="219"/>
      <c r="P10" s="217"/>
      <c r="Q10" s="220"/>
      <c r="R10" s="220"/>
      <c r="S10" s="206"/>
      <c r="T10" s="33"/>
      <c r="U10" s="33"/>
    </row>
    <row r="11" spans="1:22" ht="15.75" hidden="1" customHeight="1" outlineLevel="1">
      <c r="B11" s="164" t="s">
        <v>3</v>
      </c>
      <c r="C11" s="173"/>
      <c r="D11" s="203">
        <v>64</v>
      </c>
      <c r="E11" s="203"/>
      <c r="O11" s="219"/>
      <c r="P11" s="217"/>
      <c r="Q11" s="220"/>
      <c r="R11" s="220"/>
      <c r="S11" s="206"/>
      <c r="T11" s="33"/>
      <c r="U11" s="33"/>
    </row>
    <row r="12" spans="1:22" ht="30.75" hidden="1" customHeight="1" outlineLevel="1">
      <c r="B12" s="166" t="s">
        <v>4</v>
      </c>
      <c r="C12" s="174"/>
      <c r="D12" s="203" t="s">
        <v>34</v>
      </c>
      <c r="E12" s="203"/>
      <c r="O12" s="221"/>
      <c r="P12" s="222"/>
      <c r="Q12" s="220"/>
      <c r="R12" s="220"/>
      <c r="S12" s="206"/>
      <c r="T12" s="33"/>
      <c r="U12" s="33"/>
    </row>
    <row r="13" spans="1:22" collapsed="1">
      <c r="B13" s="164" t="s">
        <v>5</v>
      </c>
      <c r="C13" s="173"/>
      <c r="D13" s="203" t="s">
        <v>108</v>
      </c>
      <c r="E13" s="203"/>
      <c r="I13" s="5"/>
      <c r="O13" s="219"/>
      <c r="P13" s="217"/>
      <c r="Q13" s="220"/>
      <c r="R13" s="220"/>
      <c r="S13" s="206"/>
      <c r="T13" s="33"/>
      <c r="U13" s="33"/>
    </row>
    <row r="14" spans="1:22">
      <c r="B14" s="164" t="s">
        <v>6</v>
      </c>
      <c r="C14" s="173"/>
      <c r="D14" s="203" t="s">
        <v>35</v>
      </c>
      <c r="E14" s="203"/>
      <c r="O14" s="219"/>
      <c r="P14" s="217"/>
      <c r="Q14" s="220"/>
      <c r="R14" s="220"/>
      <c r="S14" s="206"/>
      <c r="T14" s="33"/>
      <c r="U14" s="33"/>
    </row>
    <row r="15" spans="1:22" ht="30.75" hidden="1" customHeight="1" outlineLevel="1">
      <c r="B15" s="15" t="s">
        <v>8</v>
      </c>
      <c r="C15" s="73"/>
      <c r="D15" s="204" t="s">
        <v>32</v>
      </c>
      <c r="E15" s="157"/>
      <c r="I15" s="5"/>
      <c r="O15" s="221"/>
      <c r="P15" s="222"/>
      <c r="Q15" s="285"/>
      <c r="R15" s="285"/>
      <c r="S15" s="206"/>
      <c r="T15" s="33"/>
      <c r="U15" s="33"/>
    </row>
    <row r="16" spans="1:22" ht="16.5" collapsed="1" thickBot="1">
      <c r="B16" s="242" t="s">
        <v>176</v>
      </c>
      <c r="C16" s="242"/>
      <c r="D16" s="242"/>
      <c r="E16" s="242"/>
      <c r="F16" s="242"/>
      <c r="G16" s="242"/>
      <c r="H16" s="242"/>
      <c r="I16" s="5"/>
      <c r="O16" s="221"/>
      <c r="P16" s="222"/>
      <c r="Q16" s="223"/>
      <c r="R16" s="223"/>
      <c r="S16" s="206"/>
      <c r="T16" s="33"/>
      <c r="U16" s="33"/>
    </row>
    <row r="17" spans="2:21" ht="45" customHeight="1" thickBot="1">
      <c r="B17" s="181" t="s">
        <v>178</v>
      </c>
      <c r="C17" s="228" t="s">
        <v>101</v>
      </c>
      <c r="D17" s="229"/>
      <c r="E17" s="238" t="s">
        <v>9</v>
      </c>
      <c r="F17" s="239"/>
      <c r="G17" s="238" t="s">
        <v>10</v>
      </c>
      <c r="H17" s="245"/>
      <c r="I17" s="5"/>
      <c r="O17" s="221"/>
      <c r="P17" s="222"/>
      <c r="Q17" s="223"/>
      <c r="R17" s="223"/>
      <c r="S17" s="206"/>
      <c r="T17" s="33"/>
      <c r="U17" s="33"/>
    </row>
    <row r="18" spans="2:21">
      <c r="B18" s="151" t="s">
        <v>11</v>
      </c>
      <c r="C18" s="268">
        <v>3583598.2195148245</v>
      </c>
      <c r="D18" s="281"/>
      <c r="E18" s="268">
        <v>2732345.0170619944</v>
      </c>
      <c r="F18" s="281"/>
      <c r="G18" s="268">
        <v>851253.20245283016</v>
      </c>
      <c r="H18" s="287"/>
      <c r="I18" s="5"/>
      <c r="O18" s="221"/>
      <c r="P18" s="222"/>
      <c r="Q18" s="223"/>
      <c r="R18" s="223"/>
      <c r="S18" s="206"/>
      <c r="T18" s="33"/>
      <c r="U18" s="33"/>
    </row>
    <row r="19" spans="2:21">
      <c r="B19" s="152" t="s">
        <v>12</v>
      </c>
      <c r="C19" s="232">
        <v>3436552.0977628031</v>
      </c>
      <c r="D19" s="282"/>
      <c r="E19" s="232">
        <v>2626164.9938005391</v>
      </c>
      <c r="F19" s="282"/>
      <c r="G19" s="232">
        <v>810387.10396226414</v>
      </c>
      <c r="H19" s="288"/>
      <c r="I19" s="5"/>
      <c r="O19" s="221"/>
      <c r="P19" s="222"/>
      <c r="Q19" s="223"/>
      <c r="R19" s="223"/>
      <c r="S19" s="206"/>
      <c r="T19" s="33"/>
      <c r="U19" s="33"/>
    </row>
    <row r="20" spans="2:21" ht="16.5" thickBot="1">
      <c r="B20" s="153" t="s">
        <v>88</v>
      </c>
      <c r="C20" s="271">
        <v>3599162.4397999998</v>
      </c>
      <c r="D20" s="278"/>
      <c r="E20" s="271">
        <v>2810208.4397999998</v>
      </c>
      <c r="F20" s="278"/>
      <c r="G20" s="271">
        <v>788954</v>
      </c>
      <c r="H20" s="286"/>
      <c r="I20" s="5"/>
      <c r="O20" s="221"/>
      <c r="P20" s="222"/>
      <c r="Q20" s="223"/>
      <c r="R20" s="223"/>
      <c r="S20" s="206"/>
      <c r="T20" s="33"/>
      <c r="U20" s="33"/>
    </row>
    <row r="21" spans="2:21" ht="30.75" customHeight="1" thickBot="1">
      <c r="B21" s="154" t="s">
        <v>146</v>
      </c>
      <c r="C21" s="236">
        <f>E21+G21</f>
        <v>-162610.34203719662</v>
      </c>
      <c r="D21" s="279"/>
      <c r="E21" s="247">
        <f>E19-E20</f>
        <v>-184043.44599946076</v>
      </c>
      <c r="F21" s="279"/>
      <c r="G21" s="247">
        <f>G19-G20</f>
        <v>21433.10396226414</v>
      </c>
      <c r="H21" s="289"/>
      <c r="I21" s="5"/>
      <c r="O21" s="221"/>
      <c r="P21" s="222"/>
      <c r="Q21" s="223"/>
      <c r="R21" s="223"/>
      <c r="S21" s="206"/>
      <c r="T21" s="33"/>
      <c r="U21" s="33"/>
    </row>
    <row r="22" spans="2:21">
      <c r="B22" s="15"/>
      <c r="C22" s="73"/>
      <c r="D22" s="204"/>
      <c r="E22" s="157"/>
      <c r="I22" s="5"/>
      <c r="O22" s="221"/>
      <c r="P22" s="222"/>
      <c r="Q22" s="223"/>
      <c r="R22" s="223"/>
      <c r="S22" s="206"/>
      <c r="T22" s="33"/>
      <c r="U22" s="33"/>
    </row>
    <row r="23" spans="2:21" ht="32.25" customHeight="1" thickBot="1">
      <c r="B23" s="265" t="s">
        <v>179</v>
      </c>
      <c r="C23" s="265"/>
      <c r="D23" s="265"/>
      <c r="E23" s="265"/>
      <c r="F23" s="265"/>
      <c r="G23" s="265"/>
      <c r="H23" s="265"/>
      <c r="L23" s="212"/>
      <c r="M23" s="226" t="s">
        <v>148</v>
      </c>
      <c r="N23" s="226" t="s">
        <v>149</v>
      </c>
    </row>
    <row r="24" spans="2:21" ht="30.75" customHeight="1">
      <c r="B24" s="261" t="s">
        <v>94</v>
      </c>
      <c r="C24" s="259" t="s">
        <v>95</v>
      </c>
      <c r="D24" s="259" t="s">
        <v>116</v>
      </c>
      <c r="E24" s="266" t="s">
        <v>180</v>
      </c>
      <c r="F24" s="240" t="s">
        <v>96</v>
      </c>
      <c r="G24" s="241"/>
      <c r="H24" s="257" t="s">
        <v>122</v>
      </c>
      <c r="L24" s="212"/>
      <c r="M24" s="280"/>
      <c r="N24" s="280"/>
    </row>
    <row r="25" spans="2:21" ht="41.25" customHeight="1" thickBot="1">
      <c r="B25" s="262"/>
      <c r="C25" s="260"/>
      <c r="D25" s="260"/>
      <c r="E25" s="267"/>
      <c r="F25" s="17" t="s">
        <v>81</v>
      </c>
      <c r="G25" s="18" t="s">
        <v>82</v>
      </c>
      <c r="H25" s="258"/>
      <c r="M25" s="185">
        <v>281746.90000000002</v>
      </c>
      <c r="N25" s="183">
        <f>M25*1.05</f>
        <v>295834.24500000005</v>
      </c>
    </row>
    <row r="26" spans="2:21" ht="38.25" customHeight="1">
      <c r="B26" s="19" t="s">
        <v>86</v>
      </c>
      <c r="C26" s="20" t="s">
        <v>97</v>
      </c>
      <c r="D26" s="21" t="s">
        <v>98</v>
      </c>
      <c r="E26" s="22">
        <v>1.06</v>
      </c>
      <c r="F26" s="23">
        <f>($M$25+$M$27)/$M$26*E26</f>
        <v>32153.749384027233</v>
      </c>
      <c r="G26" s="24">
        <f>($N$25+$N$27)/$N$26*E26</f>
        <v>33761.436853228603</v>
      </c>
      <c r="H26" s="25">
        <f>F26-G26</f>
        <v>-1607.6874692013698</v>
      </c>
      <c r="I26" s="26"/>
      <c r="J26" s="199"/>
      <c r="K26" s="213"/>
      <c r="L26" s="214"/>
      <c r="M26" s="185">
        <f>E35-E33</f>
        <v>10.050000000000001</v>
      </c>
      <c r="N26" s="185">
        <f>E35-E33</f>
        <v>10.050000000000001</v>
      </c>
      <c r="O26" s="185">
        <f>E35-E33</f>
        <v>10.050000000000001</v>
      </c>
    </row>
    <row r="27" spans="2:21" ht="51">
      <c r="B27" s="28" t="s">
        <v>90</v>
      </c>
      <c r="C27" s="20" t="s">
        <v>97</v>
      </c>
      <c r="D27" s="21" t="s">
        <v>98</v>
      </c>
      <c r="E27" s="29">
        <v>1.19</v>
      </c>
      <c r="F27" s="23">
        <f t="shared" ref="F27:F34" si="0">($M$25+$M$27)/$M$26*E27</f>
        <v>36097.133742445665</v>
      </c>
      <c r="G27" s="24">
        <f t="shared" ref="G27:G32" si="1">($N$25+$N$27)/$N$26*E27</f>
        <v>37901.990429567952</v>
      </c>
      <c r="H27" s="25">
        <f t="shared" ref="H27:H32" si="2">F27-G27</f>
        <v>-1804.8566871222865</v>
      </c>
      <c r="I27" s="31"/>
      <c r="J27" s="2"/>
      <c r="K27" s="186"/>
      <c r="L27" s="189" t="s">
        <v>133</v>
      </c>
      <c r="M27" s="188">
        <f>M28/E35*M26</f>
        <v>23107.044631578949</v>
      </c>
      <c r="N27" s="188">
        <f>N28/E35*N26</f>
        <v>24262.396863157897</v>
      </c>
      <c r="O27" s="188">
        <f>O28/E35*O26</f>
        <v>36747.27842105263</v>
      </c>
    </row>
    <row r="28" spans="2:21" ht="33" customHeight="1">
      <c r="B28" s="32" t="s">
        <v>83</v>
      </c>
      <c r="C28" s="20" t="s">
        <v>97</v>
      </c>
      <c r="D28" s="21" t="s">
        <v>98</v>
      </c>
      <c r="E28" s="29">
        <v>0.32</v>
      </c>
      <c r="F28" s="23">
        <f t="shared" si="0"/>
        <v>9706.7922668761457</v>
      </c>
      <c r="G28" s="24">
        <f t="shared" si="1"/>
        <v>10192.131880219955</v>
      </c>
      <c r="H28" s="25">
        <f t="shared" si="2"/>
        <v>-485.33961334380911</v>
      </c>
      <c r="I28" s="33"/>
      <c r="L28" s="189" t="s">
        <v>131</v>
      </c>
      <c r="M28" s="189">
        <f>29487.36+3276.36</f>
        <v>32763.72</v>
      </c>
      <c r="N28" s="189">
        <f>M28*1.05</f>
        <v>34401.906000000003</v>
      </c>
      <c r="O28" s="189">
        <f>40696.94+11407.41</f>
        <v>52104.350000000006</v>
      </c>
    </row>
    <row r="29" spans="2:21" ht="25.5">
      <c r="B29" s="32" t="s">
        <v>84</v>
      </c>
      <c r="C29" s="34" t="s">
        <v>99</v>
      </c>
      <c r="D29" s="21" t="s">
        <v>98</v>
      </c>
      <c r="E29" s="29">
        <v>0.23</v>
      </c>
      <c r="F29" s="23">
        <f t="shared" si="0"/>
        <v>6976.7569418172297</v>
      </c>
      <c r="G29" s="24">
        <f t="shared" si="1"/>
        <v>7325.5947889080926</v>
      </c>
      <c r="H29" s="25">
        <f t="shared" si="2"/>
        <v>-348.83784709086285</v>
      </c>
      <c r="I29" s="33"/>
      <c r="L29" s="188" t="s">
        <v>134</v>
      </c>
      <c r="M29" s="188">
        <f>M28/E35*E33</f>
        <v>9656.6753684210526</v>
      </c>
      <c r="N29" s="188"/>
      <c r="O29" s="188">
        <f>O28/E35*E33</f>
        <v>15357.071578947369</v>
      </c>
    </row>
    <row r="30" spans="2:21" ht="51">
      <c r="B30" s="28" t="s">
        <v>87</v>
      </c>
      <c r="C30" s="20" t="s">
        <v>137</v>
      </c>
      <c r="D30" s="21" t="s">
        <v>98</v>
      </c>
      <c r="E30" s="29">
        <v>1.18</v>
      </c>
      <c r="F30" s="23">
        <f t="shared" si="0"/>
        <v>35793.796484105784</v>
      </c>
      <c r="G30" s="24">
        <f t="shared" si="1"/>
        <v>37583.486308311083</v>
      </c>
      <c r="H30" s="25">
        <f t="shared" si="2"/>
        <v>-1789.6898242052994</v>
      </c>
      <c r="I30" s="33"/>
    </row>
    <row r="31" spans="2:21" ht="214.5" customHeight="1">
      <c r="B31" s="28" t="s">
        <v>121</v>
      </c>
      <c r="C31" s="20" t="s">
        <v>100</v>
      </c>
      <c r="D31" s="21" t="s">
        <v>98</v>
      </c>
      <c r="E31" s="29">
        <v>5.61</v>
      </c>
      <c r="F31" s="23">
        <f t="shared" si="0"/>
        <v>170172.20192867244</v>
      </c>
      <c r="G31" s="24">
        <f t="shared" si="1"/>
        <v>178680.8120251061</v>
      </c>
      <c r="H31" s="25">
        <f t="shared" si="2"/>
        <v>-8508.6100964336656</v>
      </c>
      <c r="I31" s="31"/>
      <c r="J31" s="2"/>
      <c r="K31" s="186"/>
      <c r="L31" s="215"/>
      <c r="M31" s="186"/>
      <c r="N31" s="186"/>
    </row>
    <row r="32" spans="2:21" ht="111.75" customHeight="1">
      <c r="B32" s="28" t="s">
        <v>102</v>
      </c>
      <c r="C32" s="20" t="s">
        <v>97</v>
      </c>
      <c r="D32" s="21" t="s">
        <v>98</v>
      </c>
      <c r="E32" s="29">
        <v>0.24</v>
      </c>
      <c r="F32" s="23">
        <f t="shared" si="0"/>
        <v>7280.0942001571093</v>
      </c>
      <c r="G32" s="24">
        <f t="shared" si="1"/>
        <v>7644.0989101649657</v>
      </c>
      <c r="H32" s="25">
        <f t="shared" si="2"/>
        <v>-364.00471000785637</v>
      </c>
      <c r="I32" s="33"/>
    </row>
    <row r="33" spans="2:14" ht="30" customHeight="1">
      <c r="B33" s="32" t="s">
        <v>91</v>
      </c>
      <c r="C33" s="20" t="s">
        <v>97</v>
      </c>
      <c r="D33" s="21" t="s">
        <v>98</v>
      </c>
      <c r="E33" s="29">
        <v>4.2</v>
      </c>
      <c r="F33" s="23">
        <f>117744.98+M29</f>
        <v>127401.65536842105</v>
      </c>
      <c r="G33" s="30">
        <v>94306</v>
      </c>
      <c r="H33" s="25">
        <f>F33-G33</f>
        <v>33095.655368421052</v>
      </c>
      <c r="I33" s="33"/>
      <c r="L33" s="212"/>
    </row>
    <row r="34" spans="2:14" ht="16.5" thickBot="1">
      <c r="B34" s="62" t="s">
        <v>85</v>
      </c>
      <c r="C34" s="36" t="s">
        <v>100</v>
      </c>
      <c r="D34" s="37" t="s">
        <v>98</v>
      </c>
      <c r="E34" s="38">
        <v>0.22</v>
      </c>
      <c r="F34" s="23">
        <f t="shared" si="0"/>
        <v>6673.4196834773502</v>
      </c>
      <c r="G34" s="24">
        <f t="shared" ref="G34" si="3">($N$25+$N$27)/$N$26*E34</f>
        <v>7007.0906676512186</v>
      </c>
      <c r="H34" s="25">
        <f>F34-G34</f>
        <v>-333.67098417386842</v>
      </c>
      <c r="I34" s="33"/>
    </row>
    <row r="35" spans="2:14" ht="16.5" thickBot="1">
      <c r="B35" s="39" t="s">
        <v>89</v>
      </c>
      <c r="C35" s="40"/>
      <c r="D35" s="40"/>
      <c r="E35" s="41">
        <f>SUM(E26:E34)</f>
        <v>14.250000000000002</v>
      </c>
      <c r="F35" s="42">
        <f>SUM(F26:F34)</f>
        <v>432255.60000000003</v>
      </c>
      <c r="G35" s="43">
        <f>SUM(G26:G34)</f>
        <v>414402.64186315797</v>
      </c>
      <c r="H35" s="44">
        <f>SUM(H26:H34)</f>
        <v>17852.958136842033</v>
      </c>
      <c r="I35" s="65"/>
    </row>
    <row r="36" spans="2:14">
      <c r="B36" s="5"/>
      <c r="C36" s="5"/>
      <c r="D36" s="5"/>
      <c r="E36" s="14"/>
      <c r="F36" s="14"/>
      <c r="G36" s="14"/>
      <c r="H36" s="3"/>
    </row>
    <row r="37" spans="2:14" ht="16.5" customHeight="1" thickBot="1">
      <c r="B37" s="242" t="s">
        <v>181</v>
      </c>
      <c r="C37" s="242"/>
      <c r="D37" s="242"/>
      <c r="E37" s="242"/>
      <c r="F37" s="242"/>
      <c r="G37" s="242"/>
      <c r="H37" s="242"/>
      <c r="I37" s="45"/>
      <c r="J37" s="45"/>
    </row>
    <row r="38" spans="2:14" ht="39.75" customHeight="1" thickBot="1">
      <c r="B38" s="181" t="s">
        <v>182</v>
      </c>
      <c r="C38" s="228" t="s">
        <v>101</v>
      </c>
      <c r="D38" s="229"/>
      <c r="E38" s="238" t="s">
        <v>9</v>
      </c>
      <c r="F38" s="239"/>
      <c r="G38" s="238" t="s">
        <v>10</v>
      </c>
      <c r="H38" s="245"/>
      <c r="I38" s="158"/>
      <c r="J38" s="159"/>
      <c r="K38" s="216"/>
      <c r="L38" s="217"/>
      <c r="M38" s="187"/>
      <c r="N38" s="187"/>
    </row>
    <row r="39" spans="2:14">
      <c r="B39" s="151" t="s">
        <v>11</v>
      </c>
      <c r="C39" s="268">
        <f>E39+G39</f>
        <v>4015853.8195148245</v>
      </c>
      <c r="D39" s="281"/>
      <c r="E39" s="268">
        <f>F26+F27+F28+F29+F30+F31+F32+F34+E18</f>
        <v>3037198.9616935733</v>
      </c>
      <c r="F39" s="281"/>
      <c r="G39" s="268">
        <f>F33+G18</f>
        <v>978654.85782125127</v>
      </c>
      <c r="H39" s="287"/>
      <c r="I39" s="160"/>
      <c r="J39" s="161"/>
      <c r="K39" s="191"/>
      <c r="L39" s="191"/>
      <c r="M39" s="188"/>
    </row>
    <row r="40" spans="2:14">
      <c r="B40" s="152" t="s">
        <v>12</v>
      </c>
      <c r="C40" s="232">
        <f>E40+G40</f>
        <v>3882086.5277628032</v>
      </c>
      <c r="D40" s="282"/>
      <c r="E40" s="232">
        <f>E19+O27+277471.78</f>
        <v>2940384.0522215916</v>
      </c>
      <c r="F40" s="282"/>
      <c r="G40" s="232">
        <f>G19+O29+115958.3</f>
        <v>941702.47554121155</v>
      </c>
      <c r="H40" s="288"/>
      <c r="I40" s="160"/>
      <c r="J40" s="162"/>
      <c r="K40" s="218"/>
      <c r="L40" s="191"/>
      <c r="M40" s="188"/>
    </row>
    <row r="41" spans="2:14" ht="16.5" thickBot="1">
      <c r="B41" s="153" t="s">
        <v>88</v>
      </c>
      <c r="C41" s="271">
        <f>E41+G41</f>
        <v>4013565.0816631578</v>
      </c>
      <c r="D41" s="278"/>
      <c r="E41" s="271">
        <f>G26+G27+G28+G29+G30+G31+G32+G34+E20</f>
        <v>3130305.0816631578</v>
      </c>
      <c r="F41" s="278"/>
      <c r="G41" s="271">
        <f>G33+G20</f>
        <v>883260</v>
      </c>
      <c r="H41" s="286"/>
      <c r="I41" s="160"/>
      <c r="J41" s="48"/>
      <c r="K41" s="219"/>
      <c r="L41" s="219"/>
    </row>
    <row r="42" spans="2:14" ht="36" customHeight="1" thickBot="1">
      <c r="B42" s="154" t="s">
        <v>147</v>
      </c>
      <c r="C42" s="236">
        <f>E42+G42</f>
        <v>-131478.55390035466</v>
      </c>
      <c r="D42" s="279"/>
      <c r="E42" s="247">
        <f>E40-E41</f>
        <v>-189921.02944156621</v>
      </c>
      <c r="F42" s="279"/>
      <c r="G42" s="247">
        <f>G40-G41</f>
        <v>58442.475541211548</v>
      </c>
      <c r="H42" s="289"/>
      <c r="I42" s="163"/>
      <c r="J42" s="148"/>
      <c r="K42" s="219"/>
      <c r="L42" s="219"/>
    </row>
    <row r="43" spans="2:14" ht="13.5" customHeight="1">
      <c r="B43" s="76"/>
      <c r="C43" s="146"/>
      <c r="D43" s="146"/>
      <c r="E43" s="148"/>
      <c r="F43" s="148"/>
      <c r="G43" s="148"/>
      <c r="H43" s="148"/>
      <c r="I43" s="52"/>
      <c r="J43" s="2"/>
      <c r="K43" s="186"/>
      <c r="L43" s="186"/>
      <c r="M43" s="186"/>
      <c r="N43" s="186"/>
    </row>
    <row r="44" spans="2:14" ht="15" customHeight="1">
      <c r="B44" s="52" t="s">
        <v>77</v>
      </c>
      <c r="C44" s="225" t="s">
        <v>150</v>
      </c>
      <c r="D44" s="225"/>
      <c r="E44" s="225"/>
      <c r="F44" s="251" t="s">
        <v>174</v>
      </c>
      <c r="G44" s="251"/>
      <c r="H44" s="52"/>
      <c r="I44" s="52"/>
      <c r="J44" s="2"/>
      <c r="K44" s="186"/>
      <c r="L44" s="186"/>
      <c r="M44" s="186"/>
      <c r="N44" s="186"/>
    </row>
    <row r="45" spans="2:14" ht="9.75" customHeight="1">
      <c r="B45" s="52"/>
      <c r="C45" s="53"/>
      <c r="D45" s="53"/>
      <c r="E45" s="211"/>
      <c r="F45" s="252"/>
      <c r="G45" s="252"/>
      <c r="H45" s="52"/>
      <c r="I45" s="52"/>
      <c r="J45" s="2"/>
      <c r="K45" s="186"/>
      <c r="L45" s="186"/>
      <c r="M45" s="186"/>
      <c r="N45" s="186"/>
    </row>
    <row r="46" spans="2:14" ht="12.75" customHeight="1">
      <c r="B46" s="52" t="s">
        <v>78</v>
      </c>
      <c r="C46" s="225" t="s">
        <v>150</v>
      </c>
      <c r="D46" s="225"/>
      <c r="E46" s="225"/>
      <c r="F46" s="251" t="s">
        <v>93</v>
      </c>
      <c r="G46" s="251"/>
      <c r="H46" s="52"/>
      <c r="I46" s="52"/>
    </row>
    <row r="47" spans="2:14" ht="4.5" customHeight="1">
      <c r="B47" s="52"/>
      <c r="C47" s="53"/>
      <c r="D47" s="53"/>
      <c r="E47" s="211"/>
      <c r="F47" s="251"/>
      <c r="G47" s="251"/>
      <c r="H47" s="52"/>
      <c r="I47" s="52"/>
    </row>
    <row r="48" spans="2:14" ht="16.5" customHeight="1">
      <c r="B48" s="52" t="s">
        <v>79</v>
      </c>
      <c r="C48" s="225" t="s">
        <v>151</v>
      </c>
      <c r="D48" s="225"/>
      <c r="E48" s="225"/>
      <c r="F48" s="251" t="s">
        <v>175</v>
      </c>
      <c r="G48" s="251"/>
      <c r="H48" s="52"/>
      <c r="I48" s="6"/>
    </row>
    <row r="49" spans="2:9" ht="7.5" customHeight="1">
      <c r="B49" s="54"/>
      <c r="C49" s="55"/>
      <c r="D49" s="55"/>
      <c r="E49" s="211"/>
      <c r="F49" s="197"/>
      <c r="G49" s="54"/>
      <c r="H49" s="56"/>
      <c r="I49" s="52"/>
    </row>
    <row r="50" spans="2:9" ht="13.5" customHeight="1">
      <c r="B50" s="52" t="s">
        <v>80</v>
      </c>
      <c r="C50" s="225" t="s">
        <v>151</v>
      </c>
      <c r="D50" s="225"/>
      <c r="E50" s="225"/>
      <c r="F50" s="251" t="s">
        <v>175</v>
      </c>
      <c r="G50" s="251"/>
      <c r="H50" s="52"/>
      <c r="I50" s="3"/>
    </row>
    <row r="51" spans="2:9">
      <c r="B51" s="8"/>
      <c r="C51" s="69"/>
      <c r="D51" s="70"/>
      <c r="E51" s="211"/>
      <c r="F51" s="8"/>
      <c r="G51" s="8"/>
    </row>
    <row r="54" spans="2:9">
      <c r="B54" s="8"/>
    </row>
  </sheetData>
  <mergeCells count="60">
    <mergeCell ref="B2:H2"/>
    <mergeCell ref="B3:H3"/>
    <mergeCell ref="B4:H4"/>
    <mergeCell ref="G38:H38"/>
    <mergeCell ref="G17:H17"/>
    <mergeCell ref="C18:D18"/>
    <mergeCell ref="E18:F18"/>
    <mergeCell ref="G18:H18"/>
    <mergeCell ref="C19:D19"/>
    <mergeCell ref="E19:F19"/>
    <mergeCell ref="G19:H19"/>
    <mergeCell ref="C20:D20"/>
    <mergeCell ref="C21:D21"/>
    <mergeCell ref="E21:F21"/>
    <mergeCell ref="G21:H21"/>
    <mergeCell ref="B1:H1"/>
    <mergeCell ref="F50:G50"/>
    <mergeCell ref="F46:G46"/>
    <mergeCell ref="E40:F40"/>
    <mergeCell ref="F47:G47"/>
    <mergeCell ref="E39:F39"/>
    <mergeCell ref="E42:F42"/>
    <mergeCell ref="B5:H6"/>
    <mergeCell ref="G39:H39"/>
    <mergeCell ref="D24:D25"/>
    <mergeCell ref="F44:G44"/>
    <mergeCell ref="E41:F41"/>
    <mergeCell ref="F45:G45"/>
    <mergeCell ref="G40:H40"/>
    <mergeCell ref="G41:H41"/>
    <mergeCell ref="G42:H42"/>
    <mergeCell ref="O5:S7"/>
    <mergeCell ref="Q8:S8"/>
    <mergeCell ref="Q15:R15"/>
    <mergeCell ref="F24:G24"/>
    <mergeCell ref="B37:H37"/>
    <mergeCell ref="B23:H23"/>
    <mergeCell ref="H24:H25"/>
    <mergeCell ref="B24:B25"/>
    <mergeCell ref="C24:C25"/>
    <mergeCell ref="D8:E8"/>
    <mergeCell ref="E24:E25"/>
    <mergeCell ref="B16:H16"/>
    <mergeCell ref="C17:D17"/>
    <mergeCell ref="E17:F17"/>
    <mergeCell ref="E20:F20"/>
    <mergeCell ref="G20:H20"/>
    <mergeCell ref="M23:M24"/>
    <mergeCell ref="N23:N24"/>
    <mergeCell ref="C38:D38"/>
    <mergeCell ref="C39:D39"/>
    <mergeCell ref="C40:D40"/>
    <mergeCell ref="E38:F38"/>
    <mergeCell ref="F48:G48"/>
    <mergeCell ref="C50:E50"/>
    <mergeCell ref="C41:D41"/>
    <mergeCell ref="C42:D42"/>
    <mergeCell ref="C44:E44"/>
    <mergeCell ref="C46:E46"/>
    <mergeCell ref="C48:E48"/>
  </mergeCells>
  <printOptions horizontalCentered="1"/>
  <pageMargins left="0.19685039370078741" right="0.19685039370078741" top="0.15748031496062992" bottom="0.24" header="0.16" footer="0.24"/>
  <pageSetup paperSize="9" scale="37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sheetPr codeName="Лист9">
    <tabColor rgb="FF0070C0"/>
    <pageSetUpPr fitToPage="1"/>
  </sheetPr>
  <dimension ref="A1:U51"/>
  <sheetViews>
    <sheetView zoomScale="110" zoomScaleNormal="110" workbookViewId="0">
      <selection activeCell="B23" sqref="B23:H23"/>
    </sheetView>
  </sheetViews>
  <sheetFormatPr defaultColWidth="9.140625" defaultRowHeight="15.75" outlineLevelRow="1"/>
  <cols>
    <col min="1" max="1" width="2.85546875" style="1" customWidth="1"/>
    <col min="2" max="2" width="56" style="1" customWidth="1"/>
    <col min="3" max="3" width="15.140625" style="14" customWidth="1"/>
    <col min="4" max="4" width="9.5703125" style="3" customWidth="1"/>
    <col min="5" max="5" width="10.140625" style="3" customWidth="1"/>
    <col min="6" max="6" width="10.140625" style="1" customWidth="1"/>
    <col min="7" max="7" width="10.28515625" style="1" customWidth="1"/>
    <col min="8" max="8" width="10.42578125" style="1" customWidth="1"/>
    <col min="9" max="9" width="14.7109375" style="1" customWidth="1"/>
    <col min="10" max="10" width="15.42578125" style="1" customWidth="1"/>
    <col min="11" max="12" width="9.140625" style="1"/>
    <col min="13" max="13" width="16.140625" style="182" customWidth="1"/>
    <col min="14" max="14" width="18.42578125" style="182" customWidth="1"/>
    <col min="15" max="15" width="0" style="1" hidden="1" customWidth="1"/>
    <col min="16" max="16" width="10.42578125" style="1" customWidth="1"/>
    <col min="17" max="17" width="11.85546875" style="1" customWidth="1"/>
    <col min="18" max="19" width="9.140625" style="1"/>
    <col min="20" max="20" width="10" style="1" customWidth="1"/>
    <col min="21" max="21" width="11" style="1" customWidth="1"/>
    <col min="22" max="16384" width="9.140625" style="1"/>
  </cols>
  <sheetData>
    <row r="1" spans="1:21">
      <c r="A1" s="6"/>
      <c r="B1" s="255" t="s">
        <v>119</v>
      </c>
      <c r="C1" s="255"/>
      <c r="D1" s="255"/>
      <c r="E1" s="255"/>
      <c r="F1" s="255"/>
      <c r="G1" s="255"/>
      <c r="H1" s="255"/>
      <c r="N1" s="189"/>
      <c r="O1" s="57"/>
      <c r="P1" s="56"/>
      <c r="Q1" s="56"/>
      <c r="R1" s="56"/>
      <c r="S1" s="6"/>
      <c r="T1" s="6"/>
      <c r="U1" s="6"/>
    </row>
    <row r="2" spans="1:21">
      <c r="A2" s="6"/>
      <c r="B2" s="255" t="s">
        <v>120</v>
      </c>
      <c r="C2" s="255"/>
      <c r="D2" s="255"/>
      <c r="E2" s="255"/>
      <c r="F2" s="255"/>
      <c r="G2" s="255"/>
      <c r="H2" s="255"/>
      <c r="N2" s="189"/>
      <c r="O2" s="57"/>
      <c r="P2" s="56"/>
      <c r="Q2" s="56"/>
      <c r="R2" s="56"/>
      <c r="S2" s="6"/>
      <c r="T2" s="6"/>
      <c r="U2" s="6"/>
    </row>
    <row r="3" spans="1:21">
      <c r="A3" s="6"/>
      <c r="B3" s="255" t="s">
        <v>160</v>
      </c>
      <c r="C3" s="255"/>
      <c r="D3" s="255"/>
      <c r="E3" s="255"/>
      <c r="F3" s="255"/>
      <c r="G3" s="255"/>
      <c r="H3" s="255"/>
      <c r="N3" s="189"/>
      <c r="O3" s="57"/>
      <c r="P3" s="56"/>
      <c r="Q3" s="56"/>
      <c r="R3" s="56"/>
      <c r="S3" s="6"/>
      <c r="T3" s="6"/>
      <c r="U3" s="6"/>
    </row>
    <row r="4" spans="1:21">
      <c r="A4" s="6"/>
      <c r="B4" s="255" t="s">
        <v>183</v>
      </c>
      <c r="C4" s="255"/>
      <c r="D4" s="255"/>
      <c r="E4" s="255"/>
      <c r="F4" s="255"/>
      <c r="G4" s="255"/>
      <c r="H4" s="255"/>
      <c r="N4" s="189"/>
      <c r="O4" s="57"/>
      <c r="P4" s="56"/>
      <c r="Q4" s="56"/>
      <c r="R4" s="56"/>
      <c r="S4" s="6"/>
      <c r="T4" s="6"/>
      <c r="U4" s="6"/>
    </row>
    <row r="5" spans="1:21" ht="19.5" customHeight="1">
      <c r="A5" s="74"/>
      <c r="B5" s="256" t="s">
        <v>177</v>
      </c>
      <c r="C5" s="256"/>
      <c r="D5" s="256"/>
      <c r="E5" s="256"/>
      <c r="F5" s="256"/>
      <c r="G5" s="256"/>
      <c r="H5" s="256"/>
      <c r="N5" s="290"/>
      <c r="O5" s="290"/>
      <c r="P5" s="290"/>
      <c r="Q5" s="290"/>
      <c r="R5" s="290"/>
      <c r="S5" s="207"/>
      <c r="T5" s="207"/>
      <c r="U5" s="75"/>
    </row>
    <row r="6" spans="1:21" ht="20.25" customHeight="1">
      <c r="A6" s="74"/>
      <c r="B6" s="256"/>
      <c r="C6" s="256"/>
      <c r="D6" s="256"/>
      <c r="E6" s="256"/>
      <c r="F6" s="256"/>
      <c r="G6" s="256"/>
      <c r="H6" s="256"/>
      <c r="N6" s="190"/>
      <c r="O6" s="207"/>
      <c r="P6" s="207"/>
      <c r="Q6" s="207"/>
      <c r="R6" s="207"/>
      <c r="S6" s="207"/>
      <c r="T6" s="207"/>
      <c r="U6" s="75"/>
    </row>
    <row r="7" spans="1:21" ht="9.75" customHeight="1">
      <c r="A7" s="74"/>
      <c r="B7" s="210"/>
      <c r="C7" s="210"/>
      <c r="D7" s="210"/>
      <c r="E7" s="210"/>
      <c r="F7" s="210"/>
      <c r="G7" s="210"/>
      <c r="H7" s="210"/>
      <c r="N7" s="190"/>
      <c r="O7" s="207"/>
      <c r="P7" s="207"/>
      <c r="Q7" s="207"/>
      <c r="R7" s="207"/>
      <c r="S7" s="207"/>
      <c r="T7" s="207"/>
      <c r="U7" s="75"/>
    </row>
    <row r="8" spans="1:21">
      <c r="A8" s="6"/>
      <c r="B8" s="164" t="s">
        <v>0</v>
      </c>
      <c r="C8" s="165"/>
      <c r="D8" s="263" t="s">
        <v>36</v>
      </c>
      <c r="E8" s="263"/>
      <c r="F8" s="6"/>
      <c r="G8" s="6"/>
      <c r="H8" s="6"/>
      <c r="N8" s="191"/>
      <c r="O8" s="11"/>
      <c r="P8" s="291"/>
      <c r="Q8" s="291"/>
      <c r="R8" s="291"/>
      <c r="S8" s="49"/>
      <c r="T8" s="49"/>
      <c r="U8" s="6"/>
    </row>
    <row r="9" spans="1:21">
      <c r="A9" s="6"/>
      <c r="B9" s="164" t="s">
        <v>1</v>
      </c>
      <c r="C9" s="165"/>
      <c r="D9" s="203">
        <v>1966</v>
      </c>
      <c r="E9" s="203"/>
      <c r="F9" s="6"/>
      <c r="G9" s="6"/>
      <c r="H9" s="6"/>
      <c r="N9" s="191"/>
      <c r="O9" s="11"/>
      <c r="P9" s="208"/>
      <c r="Q9" s="208"/>
      <c r="R9" s="208"/>
      <c r="S9" s="49"/>
      <c r="T9" s="49"/>
      <c r="U9" s="6"/>
    </row>
    <row r="10" spans="1:21" hidden="1" outlineLevel="1">
      <c r="A10" s="6"/>
      <c r="B10" s="164" t="s">
        <v>2</v>
      </c>
      <c r="C10" s="165"/>
      <c r="D10" s="203">
        <v>4</v>
      </c>
      <c r="E10" s="203"/>
      <c r="F10" s="6"/>
      <c r="G10" s="6"/>
      <c r="H10" s="6"/>
      <c r="N10" s="191"/>
      <c r="O10" s="11"/>
      <c r="P10" s="208"/>
      <c r="Q10" s="208"/>
      <c r="R10" s="208"/>
      <c r="S10" s="49"/>
      <c r="T10" s="49"/>
      <c r="U10" s="6"/>
    </row>
    <row r="11" spans="1:21" hidden="1" outlineLevel="1">
      <c r="A11" s="6"/>
      <c r="B11" s="164" t="s">
        <v>3</v>
      </c>
      <c r="C11" s="165"/>
      <c r="D11" s="203">
        <v>32</v>
      </c>
      <c r="E11" s="203"/>
      <c r="F11" s="6"/>
      <c r="G11" s="6"/>
      <c r="H11" s="6"/>
      <c r="N11" s="191"/>
      <c r="O11" s="11"/>
      <c r="P11" s="208"/>
      <c r="Q11" s="208"/>
      <c r="R11" s="208"/>
      <c r="S11" s="49"/>
      <c r="T11" s="49"/>
      <c r="U11" s="6"/>
    </row>
    <row r="12" spans="1:21" ht="30.75" hidden="1" customHeight="1" outlineLevel="1">
      <c r="A12" s="6"/>
      <c r="B12" s="166" t="s">
        <v>4</v>
      </c>
      <c r="C12" s="167"/>
      <c r="D12" s="203" t="s">
        <v>37</v>
      </c>
      <c r="E12" s="203"/>
      <c r="F12" s="6"/>
      <c r="G12" s="6"/>
      <c r="H12" s="6"/>
      <c r="N12" s="192"/>
      <c r="O12" s="77"/>
      <c r="P12" s="208"/>
      <c r="Q12" s="208"/>
      <c r="R12" s="208"/>
      <c r="S12" s="49"/>
      <c r="T12" s="49"/>
      <c r="U12" s="6"/>
    </row>
    <row r="13" spans="1:21" collapsed="1">
      <c r="A13" s="6"/>
      <c r="B13" s="164" t="s">
        <v>5</v>
      </c>
      <c r="C13" s="165"/>
      <c r="D13" s="203" t="s">
        <v>109</v>
      </c>
      <c r="E13" s="203"/>
      <c r="F13" s="6"/>
      <c r="G13" s="6"/>
      <c r="H13" s="6"/>
      <c r="I13" s="5"/>
      <c r="N13" s="191"/>
      <c r="O13" s="11"/>
      <c r="P13" s="208"/>
      <c r="Q13" s="208"/>
      <c r="R13" s="208"/>
      <c r="S13" s="49"/>
      <c r="T13" s="49"/>
      <c r="U13" s="6"/>
    </row>
    <row r="14" spans="1:21" hidden="1" outlineLevel="1">
      <c r="A14" s="6"/>
      <c r="B14" s="6" t="s">
        <v>6</v>
      </c>
      <c r="C14" s="57"/>
      <c r="D14" s="205" t="s">
        <v>7</v>
      </c>
      <c r="E14" s="205"/>
      <c r="F14" s="6"/>
      <c r="G14" s="6"/>
      <c r="H14" s="6"/>
      <c r="N14" s="191"/>
      <c r="O14" s="11"/>
      <c r="P14" s="208"/>
      <c r="Q14" s="208"/>
      <c r="R14" s="208"/>
      <c r="S14" s="49"/>
      <c r="T14" s="49"/>
      <c r="U14" s="6"/>
    </row>
    <row r="15" spans="1:21" ht="30.75" hidden="1" customHeight="1" outlineLevel="1">
      <c r="A15" s="6"/>
      <c r="B15" s="58" t="s">
        <v>8</v>
      </c>
      <c r="C15" s="59"/>
      <c r="D15" s="149" t="s">
        <v>38</v>
      </c>
      <c r="E15" s="205"/>
      <c r="F15" s="6"/>
      <c r="G15" s="6"/>
      <c r="H15" s="6"/>
      <c r="I15" s="5"/>
      <c r="N15" s="192"/>
      <c r="O15" s="77"/>
      <c r="P15" s="292"/>
      <c r="Q15" s="292"/>
      <c r="R15" s="208"/>
      <c r="S15" s="49"/>
      <c r="T15" s="49"/>
      <c r="U15" s="6"/>
    </row>
    <row r="16" spans="1:21" ht="16.5" collapsed="1" thickBot="1">
      <c r="A16" s="6"/>
      <c r="B16" s="242" t="s">
        <v>176</v>
      </c>
      <c r="C16" s="242"/>
      <c r="D16" s="242"/>
      <c r="E16" s="242"/>
      <c r="F16" s="242"/>
      <c r="G16" s="242"/>
      <c r="H16" s="242"/>
      <c r="I16" s="5"/>
      <c r="N16" s="192"/>
      <c r="O16" s="77"/>
      <c r="P16" s="209"/>
      <c r="Q16" s="209"/>
      <c r="R16" s="208"/>
      <c r="S16" s="49"/>
      <c r="T16" s="49"/>
      <c r="U16" s="6"/>
    </row>
    <row r="17" spans="1:21" ht="40.5" customHeight="1" thickBot="1">
      <c r="A17" s="6"/>
      <c r="B17" s="181" t="s">
        <v>178</v>
      </c>
      <c r="C17" s="228" t="s">
        <v>101</v>
      </c>
      <c r="D17" s="229"/>
      <c r="E17" s="238" t="s">
        <v>9</v>
      </c>
      <c r="F17" s="239"/>
      <c r="G17" s="238" t="s">
        <v>10</v>
      </c>
      <c r="H17" s="245"/>
      <c r="I17" s="5"/>
      <c r="N17" s="192"/>
      <c r="O17" s="77"/>
      <c r="P17" s="209"/>
      <c r="Q17" s="209"/>
      <c r="R17" s="208"/>
      <c r="S17" s="49"/>
      <c r="T17" s="49"/>
      <c r="U17" s="6"/>
    </row>
    <row r="18" spans="1:21">
      <c r="A18" s="6"/>
      <c r="B18" s="151" t="s">
        <v>11</v>
      </c>
      <c r="C18" s="268">
        <v>2557495.33</v>
      </c>
      <c r="D18" s="269"/>
      <c r="E18" s="230">
        <v>1913303.9500000002</v>
      </c>
      <c r="F18" s="231"/>
      <c r="G18" s="230">
        <v>644191.38000000012</v>
      </c>
      <c r="H18" s="246"/>
      <c r="I18" s="5"/>
      <c r="N18" s="192"/>
      <c r="O18" s="77"/>
      <c r="P18" s="209"/>
      <c r="Q18" s="209"/>
      <c r="R18" s="208"/>
      <c r="S18" s="49"/>
      <c r="T18" s="49"/>
      <c r="U18" s="6"/>
    </row>
    <row r="19" spans="1:21">
      <c r="A19" s="6"/>
      <c r="B19" s="152" t="s">
        <v>12</v>
      </c>
      <c r="C19" s="232">
        <v>2526933.34</v>
      </c>
      <c r="D19" s="270"/>
      <c r="E19" s="232">
        <v>1889736.5799999998</v>
      </c>
      <c r="F19" s="233"/>
      <c r="G19" s="232">
        <v>637196.76</v>
      </c>
      <c r="H19" s="243"/>
      <c r="I19" s="5"/>
      <c r="N19" s="192"/>
      <c r="O19" s="77"/>
      <c r="P19" s="209"/>
      <c r="Q19" s="209"/>
      <c r="R19" s="208"/>
      <c r="S19" s="49"/>
      <c r="T19" s="49"/>
      <c r="U19" s="6"/>
    </row>
    <row r="20" spans="1:21" ht="16.5" thickBot="1">
      <c r="A20" s="6"/>
      <c r="B20" s="153" t="s">
        <v>88</v>
      </c>
      <c r="C20" s="271">
        <v>2484756.8646</v>
      </c>
      <c r="D20" s="272"/>
      <c r="E20" s="234">
        <v>1926237.8646</v>
      </c>
      <c r="F20" s="235"/>
      <c r="G20" s="234">
        <v>558519</v>
      </c>
      <c r="H20" s="244"/>
      <c r="I20" s="5"/>
      <c r="N20" s="192"/>
      <c r="O20" s="77"/>
      <c r="P20" s="209"/>
      <c r="Q20" s="209"/>
      <c r="R20" s="208"/>
      <c r="S20" s="49"/>
      <c r="T20" s="49"/>
      <c r="U20" s="6"/>
    </row>
    <row r="21" spans="1:21" ht="36.75" thickBot="1">
      <c r="A21" s="6"/>
      <c r="B21" s="154" t="s">
        <v>146</v>
      </c>
      <c r="C21" s="236">
        <f>E21+G21</f>
        <v>42176.475399999879</v>
      </c>
      <c r="D21" s="237"/>
      <c r="E21" s="247">
        <f>E19-E20</f>
        <v>-36501.28460000013</v>
      </c>
      <c r="F21" s="248"/>
      <c r="G21" s="247">
        <f>G19-G20</f>
        <v>78677.760000000009</v>
      </c>
      <c r="H21" s="249"/>
      <c r="I21" s="5"/>
      <c r="N21" s="192"/>
      <c r="O21" s="77"/>
      <c r="P21" s="209"/>
      <c r="Q21" s="209"/>
      <c r="R21" s="208"/>
      <c r="S21" s="49"/>
      <c r="T21" s="49"/>
      <c r="U21" s="6"/>
    </row>
    <row r="22" spans="1:21">
      <c r="A22" s="6"/>
      <c r="B22" s="58"/>
      <c r="C22" s="59"/>
      <c r="D22" s="149"/>
      <c r="E22" s="205"/>
      <c r="F22" s="6"/>
      <c r="G22" s="6"/>
      <c r="H22" s="6"/>
      <c r="I22" s="5"/>
      <c r="N22" s="192"/>
      <c r="O22" s="77"/>
      <c r="P22" s="209"/>
      <c r="Q22" s="209"/>
      <c r="R22" s="208"/>
      <c r="S22" s="49"/>
      <c r="T22" s="49"/>
      <c r="U22" s="6"/>
    </row>
    <row r="23" spans="1:21" ht="30" customHeight="1" thickBot="1">
      <c r="B23" s="265" t="s">
        <v>179</v>
      </c>
      <c r="C23" s="265"/>
      <c r="D23" s="265"/>
      <c r="E23" s="265"/>
      <c r="F23" s="265"/>
      <c r="G23" s="265"/>
      <c r="H23" s="265"/>
      <c r="L23" s="5"/>
      <c r="M23" s="226" t="s">
        <v>148</v>
      </c>
      <c r="N23" s="226" t="s">
        <v>149</v>
      </c>
    </row>
    <row r="24" spans="1:21" ht="34.5" customHeight="1">
      <c r="B24" s="261" t="s">
        <v>94</v>
      </c>
      <c r="C24" s="259" t="s">
        <v>95</v>
      </c>
      <c r="D24" s="259" t="s">
        <v>116</v>
      </c>
      <c r="E24" s="266" t="s">
        <v>180</v>
      </c>
      <c r="F24" s="240" t="s">
        <v>96</v>
      </c>
      <c r="G24" s="241"/>
      <c r="H24" s="257" t="s">
        <v>122</v>
      </c>
      <c r="L24" s="5"/>
      <c r="M24" s="227"/>
      <c r="N24" s="227"/>
    </row>
    <row r="25" spans="1:21" ht="39.75" customHeight="1" thickBot="1">
      <c r="B25" s="262"/>
      <c r="C25" s="260"/>
      <c r="D25" s="260"/>
      <c r="E25" s="267"/>
      <c r="F25" s="17" t="s">
        <v>81</v>
      </c>
      <c r="G25" s="18" t="s">
        <v>82</v>
      </c>
      <c r="H25" s="258"/>
      <c r="M25" s="183">
        <v>192667.87</v>
      </c>
      <c r="N25" s="183">
        <f>M25*1.05</f>
        <v>202301.2635</v>
      </c>
    </row>
    <row r="26" spans="1:21" ht="40.5" customHeight="1">
      <c r="B26" s="19" t="s">
        <v>86</v>
      </c>
      <c r="C26" s="20" t="s">
        <v>97</v>
      </c>
      <c r="D26" s="21" t="s">
        <v>98</v>
      </c>
      <c r="E26" s="22">
        <v>1.06</v>
      </c>
      <c r="F26" s="23">
        <f>$M$25/$M$26*E26</f>
        <v>19086.723570093462</v>
      </c>
      <c r="G26" s="24">
        <f>$N$25/$N$26*E26</f>
        <v>20041.059748598131</v>
      </c>
      <c r="H26" s="25">
        <f>F26-G26</f>
        <v>-954.33617850466908</v>
      </c>
      <c r="I26" s="26"/>
      <c r="J26" s="199"/>
      <c r="K26" s="199"/>
      <c r="L26" s="27"/>
      <c r="M26" s="185">
        <f>E35-E33</f>
        <v>10.7</v>
      </c>
      <c r="N26" s="185">
        <f>E35-E33</f>
        <v>10.7</v>
      </c>
    </row>
    <row r="27" spans="1:21" ht="51">
      <c r="B27" s="28" t="s">
        <v>90</v>
      </c>
      <c r="C27" s="20" t="s">
        <v>97</v>
      </c>
      <c r="D27" s="21" t="s">
        <v>98</v>
      </c>
      <c r="E27" s="29">
        <v>1.19</v>
      </c>
      <c r="F27" s="23">
        <f t="shared" ref="F27:F34" si="0">$M$25/$M$26*E27</f>
        <v>21427.548158878508</v>
      </c>
      <c r="G27" s="24">
        <f t="shared" ref="G27:G31" si="1">$N$25/$N$26*E27</f>
        <v>22498.925566822429</v>
      </c>
      <c r="H27" s="25">
        <f t="shared" ref="H27:H32" si="2">F27-G27</f>
        <v>-1071.3774079439208</v>
      </c>
      <c r="I27" s="31"/>
      <c r="J27" s="2"/>
      <c r="K27" s="2"/>
      <c r="L27" s="2"/>
      <c r="M27" s="186"/>
      <c r="N27" s="186"/>
    </row>
    <row r="28" spans="1:21" ht="31.5" customHeight="1">
      <c r="B28" s="32" t="s">
        <v>83</v>
      </c>
      <c r="C28" s="20" t="s">
        <v>97</v>
      </c>
      <c r="D28" s="21" t="s">
        <v>98</v>
      </c>
      <c r="E28" s="29">
        <v>0.32</v>
      </c>
      <c r="F28" s="23">
        <f t="shared" si="0"/>
        <v>5762.0297570093462</v>
      </c>
      <c r="G28" s="24">
        <f t="shared" si="1"/>
        <v>6050.1312448598128</v>
      </c>
      <c r="H28" s="25">
        <f t="shared" si="2"/>
        <v>-288.10148785046658</v>
      </c>
      <c r="I28" s="33"/>
      <c r="L28" s="5"/>
    </row>
    <row r="29" spans="1:21" ht="25.5">
      <c r="B29" s="32" t="s">
        <v>84</v>
      </c>
      <c r="C29" s="34" t="s">
        <v>99</v>
      </c>
      <c r="D29" s="21" t="s">
        <v>98</v>
      </c>
      <c r="E29" s="29">
        <v>0.18</v>
      </c>
      <c r="F29" s="23">
        <f t="shared" si="0"/>
        <v>3241.1417383177572</v>
      </c>
      <c r="G29" s="24">
        <f t="shared" si="1"/>
        <v>3403.1988252336446</v>
      </c>
      <c r="H29" s="25">
        <f t="shared" si="2"/>
        <v>-162.05708691588734</v>
      </c>
      <c r="I29" s="33"/>
      <c r="L29" s="5"/>
    </row>
    <row r="30" spans="1:21" ht="51">
      <c r="B30" s="28" t="s">
        <v>87</v>
      </c>
      <c r="C30" s="20" t="s">
        <v>137</v>
      </c>
      <c r="D30" s="21" t="s">
        <v>98</v>
      </c>
      <c r="E30" s="29">
        <v>1.18</v>
      </c>
      <c r="F30" s="23">
        <f t="shared" si="0"/>
        <v>21247.484728971966</v>
      </c>
      <c r="G30" s="24">
        <f t="shared" si="1"/>
        <v>22309.858965420561</v>
      </c>
      <c r="H30" s="25">
        <f t="shared" si="2"/>
        <v>-1062.3742364485952</v>
      </c>
      <c r="I30" s="33"/>
    </row>
    <row r="31" spans="1:21" ht="217.5" customHeight="1">
      <c r="B31" s="28" t="s">
        <v>121</v>
      </c>
      <c r="C31" s="20" t="s">
        <v>100</v>
      </c>
      <c r="D31" s="21" t="s">
        <v>98</v>
      </c>
      <c r="E31" s="29">
        <v>5.61</v>
      </c>
      <c r="F31" s="23">
        <f t="shared" si="0"/>
        <v>101015.58417757011</v>
      </c>
      <c r="G31" s="24">
        <f t="shared" si="1"/>
        <v>106066.3633864486</v>
      </c>
      <c r="H31" s="25">
        <f t="shared" si="2"/>
        <v>-5050.7792088784918</v>
      </c>
      <c r="I31" s="31"/>
      <c r="J31" s="2"/>
      <c r="K31" s="2"/>
      <c r="L31" s="4"/>
      <c r="M31" s="186"/>
      <c r="N31" s="186"/>
    </row>
    <row r="32" spans="1:21" ht="105.75" customHeight="1">
      <c r="B32" s="28" t="s">
        <v>102</v>
      </c>
      <c r="C32" s="20" t="s">
        <v>97</v>
      </c>
      <c r="D32" s="21" t="s">
        <v>98</v>
      </c>
      <c r="E32" s="29">
        <v>0.24</v>
      </c>
      <c r="F32" s="23">
        <f t="shared" si="0"/>
        <v>4321.5223177570097</v>
      </c>
      <c r="G32" s="24">
        <f t="shared" ref="G32" si="3">$N$25/$N$26*E32</f>
        <v>4537.5984336448591</v>
      </c>
      <c r="H32" s="25">
        <f t="shared" si="2"/>
        <v>-216.07611588784948</v>
      </c>
      <c r="I32" s="33"/>
    </row>
    <row r="33" spans="2:14" ht="25.5" customHeight="1">
      <c r="B33" s="32" t="s">
        <v>91</v>
      </c>
      <c r="C33" s="20" t="s">
        <v>97</v>
      </c>
      <c r="D33" s="21" t="s">
        <v>98</v>
      </c>
      <c r="E33" s="29">
        <v>3.83</v>
      </c>
      <c r="F33" s="23">
        <v>68964.289999999994</v>
      </c>
      <c r="G33" s="30">
        <v>103566</v>
      </c>
      <c r="H33" s="25">
        <f>F33-G33</f>
        <v>-34601.710000000006</v>
      </c>
      <c r="I33" s="33"/>
      <c r="L33" s="5"/>
    </row>
    <row r="34" spans="2:14" ht="16.5" thickBot="1">
      <c r="B34" s="62" t="s">
        <v>85</v>
      </c>
      <c r="C34" s="36" t="s">
        <v>100</v>
      </c>
      <c r="D34" s="37" t="s">
        <v>98</v>
      </c>
      <c r="E34" s="38">
        <v>0.92</v>
      </c>
      <c r="F34" s="23">
        <f t="shared" si="0"/>
        <v>16565.835551401873</v>
      </c>
      <c r="G34" s="24">
        <f t="shared" ref="G34" si="4">$N$25/$N$26*E34</f>
        <v>17394.127328971965</v>
      </c>
      <c r="H34" s="25">
        <f>F34-G34</f>
        <v>-828.29177757009165</v>
      </c>
      <c r="I34" s="33"/>
    </row>
    <row r="35" spans="2:14" ht="16.5" thickBot="1">
      <c r="B35" s="39" t="s">
        <v>89</v>
      </c>
      <c r="C35" s="40"/>
      <c r="D35" s="40"/>
      <c r="E35" s="41">
        <f>SUM(E26:E34)</f>
        <v>14.53</v>
      </c>
      <c r="F35" s="42">
        <f>SUM(F26:F34)</f>
        <v>261632.16</v>
      </c>
      <c r="G35" s="43">
        <f>SUM(G26:G34)</f>
        <v>305867.2635</v>
      </c>
      <c r="H35" s="44">
        <f>SUM(H26:H34)</f>
        <v>-44235.103499999983</v>
      </c>
      <c r="I35" s="65"/>
    </row>
    <row r="36" spans="2:14">
      <c r="B36" s="5"/>
      <c r="C36" s="5"/>
      <c r="D36" s="5"/>
      <c r="E36" s="14"/>
      <c r="F36" s="14"/>
      <c r="G36" s="14"/>
      <c r="H36" s="3"/>
    </row>
    <row r="37" spans="2:14" ht="16.5" customHeight="1" thickBot="1">
      <c r="B37" s="242" t="s">
        <v>181</v>
      </c>
      <c r="C37" s="242"/>
      <c r="D37" s="242"/>
      <c r="E37" s="242"/>
      <c r="F37" s="242"/>
      <c r="G37" s="242"/>
      <c r="H37" s="242"/>
      <c r="I37" s="45"/>
      <c r="J37" s="45"/>
    </row>
    <row r="38" spans="2:14" ht="57" customHeight="1" thickBot="1">
      <c r="B38" s="181" t="s">
        <v>182</v>
      </c>
      <c r="C38" s="228" t="s">
        <v>101</v>
      </c>
      <c r="D38" s="229"/>
      <c r="E38" s="238" t="s">
        <v>9</v>
      </c>
      <c r="F38" s="239"/>
      <c r="G38" s="238" t="s">
        <v>10</v>
      </c>
      <c r="H38" s="245"/>
      <c r="I38" s="158"/>
      <c r="J38" s="159"/>
      <c r="K38" s="46"/>
      <c r="L38" s="47"/>
      <c r="M38" s="187"/>
      <c r="N38" s="187"/>
    </row>
    <row r="39" spans="2:14">
      <c r="B39" s="151" t="s">
        <v>11</v>
      </c>
      <c r="C39" s="230">
        <f>E39+G39</f>
        <v>2819127.49</v>
      </c>
      <c r="D39" s="231"/>
      <c r="E39" s="230">
        <f>F26+F27+F28+F29+F30+F31+F32+F34+E18</f>
        <v>2105971.8200000003</v>
      </c>
      <c r="F39" s="231"/>
      <c r="G39" s="230">
        <f>F33+G18</f>
        <v>713155.67000000016</v>
      </c>
      <c r="H39" s="246"/>
      <c r="I39" s="160"/>
      <c r="J39" s="161"/>
      <c r="K39" s="49"/>
      <c r="L39" s="49"/>
      <c r="M39" s="188"/>
    </row>
    <row r="40" spans="2:14">
      <c r="B40" s="152" t="s">
        <v>12</v>
      </c>
      <c r="C40" s="232">
        <f>E40+G40</f>
        <v>2783467.6799999997</v>
      </c>
      <c r="D40" s="233"/>
      <c r="E40" s="232">
        <f>E19+188913.8</f>
        <v>2078650.38</v>
      </c>
      <c r="F40" s="233"/>
      <c r="G40" s="232">
        <f>G19+67620.54</f>
        <v>704817.3</v>
      </c>
      <c r="H40" s="243"/>
      <c r="I40" s="160"/>
      <c r="J40" s="162"/>
      <c r="K40" s="51"/>
      <c r="L40" s="49"/>
      <c r="M40" s="188"/>
    </row>
    <row r="41" spans="2:14" ht="16.5" thickBot="1">
      <c r="B41" s="153" t="s">
        <v>88</v>
      </c>
      <c r="C41" s="234">
        <f>E41+G41</f>
        <v>2790624.1280999999</v>
      </c>
      <c r="D41" s="235"/>
      <c r="E41" s="234">
        <f>G26+G27+G28+G29+G30+G31+G32+G34+E20</f>
        <v>2128539.1280999999</v>
      </c>
      <c r="F41" s="235"/>
      <c r="G41" s="234">
        <f>G33+G20</f>
        <v>662085</v>
      </c>
      <c r="H41" s="244"/>
      <c r="I41" s="160"/>
      <c r="J41" s="48"/>
      <c r="K41" s="33"/>
      <c r="L41" s="33"/>
    </row>
    <row r="42" spans="2:14" ht="30.75" customHeight="1" thickBot="1">
      <c r="B42" s="154" t="s">
        <v>147</v>
      </c>
      <c r="C42" s="236">
        <f>E42+G42</f>
        <v>-7156.4480999999214</v>
      </c>
      <c r="D42" s="237"/>
      <c r="E42" s="247">
        <f>E40-E41</f>
        <v>-49888.748099999968</v>
      </c>
      <c r="F42" s="248"/>
      <c r="G42" s="247">
        <f>G40-G41</f>
        <v>42732.300000000047</v>
      </c>
      <c r="H42" s="249"/>
      <c r="I42" s="163"/>
      <c r="J42" s="148"/>
      <c r="K42" s="33"/>
      <c r="L42" s="33"/>
    </row>
    <row r="43" spans="2:14" ht="16.5" customHeight="1">
      <c r="B43" s="76"/>
      <c r="C43" s="146"/>
      <c r="D43" s="146"/>
      <c r="E43" s="148"/>
      <c r="F43" s="148"/>
      <c r="G43" s="148"/>
      <c r="H43" s="148"/>
      <c r="I43" s="52"/>
      <c r="J43" s="2"/>
      <c r="K43" s="2"/>
      <c r="L43" s="2"/>
      <c r="M43" s="186"/>
      <c r="N43" s="186"/>
    </row>
    <row r="44" spans="2:14" ht="13.5" customHeight="1">
      <c r="B44" s="52" t="s">
        <v>77</v>
      </c>
      <c r="C44" s="225" t="s">
        <v>150</v>
      </c>
      <c r="D44" s="225"/>
      <c r="E44" s="225"/>
      <c r="F44" s="251" t="s">
        <v>174</v>
      </c>
      <c r="G44" s="251"/>
      <c r="H44" s="52"/>
      <c r="I44" s="52"/>
      <c r="J44" s="2"/>
      <c r="K44" s="2"/>
      <c r="L44" s="2"/>
      <c r="M44" s="186"/>
      <c r="N44" s="186"/>
    </row>
    <row r="45" spans="2:14" ht="12" customHeight="1">
      <c r="B45" s="52"/>
      <c r="C45" s="53"/>
      <c r="D45" s="53"/>
      <c r="E45" s="211"/>
      <c r="F45" s="252"/>
      <c r="G45" s="252"/>
      <c r="H45" s="52"/>
      <c r="I45" s="52"/>
      <c r="J45" s="2"/>
      <c r="K45" s="2"/>
      <c r="L45" s="2"/>
      <c r="M45" s="186"/>
      <c r="N45" s="186"/>
    </row>
    <row r="46" spans="2:14" ht="12" customHeight="1">
      <c r="B46" s="52" t="s">
        <v>78</v>
      </c>
      <c r="C46" s="225" t="s">
        <v>150</v>
      </c>
      <c r="D46" s="225"/>
      <c r="E46" s="225"/>
      <c r="F46" s="251" t="s">
        <v>93</v>
      </c>
      <c r="G46" s="251"/>
      <c r="H46" s="52"/>
      <c r="I46" s="52"/>
    </row>
    <row r="47" spans="2:14" ht="9.75" customHeight="1">
      <c r="B47" s="52"/>
      <c r="C47" s="53"/>
      <c r="D47" s="53"/>
      <c r="E47" s="211"/>
      <c r="F47" s="251"/>
      <c r="G47" s="251"/>
      <c r="H47" s="52"/>
      <c r="I47" s="52"/>
    </row>
    <row r="48" spans="2:14" ht="15" customHeight="1">
      <c r="B48" s="52" t="s">
        <v>79</v>
      </c>
      <c r="C48" s="225" t="s">
        <v>151</v>
      </c>
      <c r="D48" s="225"/>
      <c r="E48" s="225"/>
      <c r="F48" s="251" t="s">
        <v>175</v>
      </c>
      <c r="G48" s="251"/>
      <c r="H48" s="52"/>
      <c r="I48" s="6"/>
    </row>
    <row r="49" spans="2:9" ht="9.75" customHeight="1">
      <c r="B49" s="54"/>
      <c r="C49" s="55"/>
      <c r="D49" s="55"/>
      <c r="E49" s="211"/>
      <c r="F49" s="197"/>
      <c r="G49" s="54"/>
      <c r="H49" s="56"/>
      <c r="I49" s="52"/>
    </row>
    <row r="50" spans="2:9" ht="15" customHeight="1">
      <c r="B50" s="52" t="s">
        <v>80</v>
      </c>
      <c r="C50" s="225" t="s">
        <v>151</v>
      </c>
      <c r="D50" s="225"/>
      <c r="E50" s="225"/>
      <c r="F50" s="251" t="s">
        <v>175</v>
      </c>
      <c r="G50" s="251"/>
      <c r="H50" s="52"/>
      <c r="I50" s="3"/>
    </row>
    <row r="51" spans="2:9">
      <c r="E51" s="200"/>
    </row>
  </sheetData>
  <mergeCells count="60">
    <mergeCell ref="B1:H1"/>
    <mergeCell ref="B5:H6"/>
    <mergeCell ref="G40:H40"/>
    <mergeCell ref="G41:H41"/>
    <mergeCell ref="G42:H42"/>
    <mergeCell ref="C24:C25"/>
    <mergeCell ref="D24:D25"/>
    <mergeCell ref="H24:H25"/>
    <mergeCell ref="B37:H37"/>
    <mergeCell ref="E24:E25"/>
    <mergeCell ref="F24:G24"/>
    <mergeCell ref="B2:H2"/>
    <mergeCell ref="B3:H3"/>
    <mergeCell ref="B4:H4"/>
    <mergeCell ref="E18:F18"/>
    <mergeCell ref="E40:F40"/>
    <mergeCell ref="F50:G50"/>
    <mergeCell ref="F47:G47"/>
    <mergeCell ref="E42:F42"/>
    <mergeCell ref="C44:E44"/>
    <mergeCell ref="C46:E46"/>
    <mergeCell ref="C48:E48"/>
    <mergeCell ref="F48:G48"/>
    <mergeCell ref="C50:E50"/>
    <mergeCell ref="F45:G45"/>
    <mergeCell ref="F46:G46"/>
    <mergeCell ref="F44:G44"/>
    <mergeCell ref="N5:R5"/>
    <mergeCell ref="E39:F39"/>
    <mergeCell ref="E41:F41"/>
    <mergeCell ref="G38:H38"/>
    <mergeCell ref="G39:H39"/>
    <mergeCell ref="P8:R8"/>
    <mergeCell ref="P15:Q15"/>
    <mergeCell ref="D8:E8"/>
    <mergeCell ref="B23:H23"/>
    <mergeCell ref="B24:B25"/>
    <mergeCell ref="E38:F38"/>
    <mergeCell ref="B16:H16"/>
    <mergeCell ref="C17:D17"/>
    <mergeCell ref="E17:F17"/>
    <mergeCell ref="G17:H17"/>
    <mergeCell ref="C18:D18"/>
    <mergeCell ref="G18:H18"/>
    <mergeCell ref="C19:D19"/>
    <mergeCell ref="E19:F19"/>
    <mergeCell ref="G19:H19"/>
    <mergeCell ref="C20:D20"/>
    <mergeCell ref="E20:F20"/>
    <mergeCell ref="G20:H20"/>
    <mergeCell ref="C21:D21"/>
    <mergeCell ref="E21:F21"/>
    <mergeCell ref="G21:H21"/>
    <mergeCell ref="M23:M24"/>
    <mergeCell ref="N23:N24"/>
    <mergeCell ref="C38:D38"/>
    <mergeCell ref="C39:D39"/>
    <mergeCell ref="C40:D40"/>
    <mergeCell ref="C41:D41"/>
    <mergeCell ref="C42:D42"/>
  </mergeCells>
  <printOptions horizontalCentered="1"/>
  <pageMargins left="0.22" right="0.2" top="0.15748031496062992" bottom="0.23622047244094491" header="0.16" footer="0.24"/>
  <pageSetup paperSize="9" scale="4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21</vt:i4>
      </vt:variant>
    </vt:vector>
  </HeadingPairs>
  <TitlesOfParts>
    <vt:vector size="21" baseType="lpstr">
      <vt:lpstr>60</vt:lpstr>
      <vt:lpstr>62</vt:lpstr>
      <vt:lpstr>62а</vt:lpstr>
      <vt:lpstr>68</vt:lpstr>
      <vt:lpstr>68а</vt:lpstr>
      <vt:lpstr>70</vt:lpstr>
      <vt:lpstr>70а</vt:lpstr>
      <vt:lpstr>72</vt:lpstr>
      <vt:lpstr>72а</vt:lpstr>
      <vt:lpstr>80</vt:lpstr>
      <vt:lpstr>82</vt:lpstr>
      <vt:lpstr>84в</vt:lpstr>
      <vt:lpstr>86а</vt:lpstr>
      <vt:lpstr>88</vt:lpstr>
      <vt:lpstr>92</vt:lpstr>
      <vt:lpstr>92а</vt:lpstr>
      <vt:lpstr>94</vt:lpstr>
      <vt:lpstr>96</vt:lpstr>
      <vt:lpstr>96а</vt:lpstr>
      <vt:lpstr>98</vt:lpstr>
      <vt:lpstr>100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2024-05-15T07:56:17Z</dcterms:modified>
</cp:coreProperties>
</file>